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8775" yWindow="4560" windowWidth="20730" windowHeight="11760" tabRatio="798"/>
  </bookViews>
  <sheets>
    <sheet name="9.2.2" sheetId="38" r:id="rId1"/>
  </sheets>
  <calcPr calcId="124519"/>
</workbook>
</file>

<file path=xl/calcChain.xml><?xml version="1.0" encoding="utf-8"?>
<calcChain xmlns="http://schemas.openxmlformats.org/spreadsheetml/2006/main">
  <c r="M4" i="38"/>
  <c r="L4"/>
  <c r="K4"/>
  <c r="J4"/>
  <c r="I4"/>
  <c r="H4"/>
  <c r="G4"/>
  <c r="F4"/>
  <c r="E4"/>
  <c r="D4"/>
  <c r="M26"/>
  <c r="L26"/>
  <c r="M25"/>
  <c r="L25"/>
  <c r="K25"/>
  <c r="J25"/>
  <c r="I25"/>
  <c r="H25"/>
  <c r="G25"/>
  <c r="F25"/>
  <c r="E25"/>
  <c r="D25"/>
  <c r="M24"/>
  <c r="L24"/>
  <c r="K24"/>
  <c r="J24"/>
  <c r="I24"/>
  <c r="H24"/>
  <c r="G24"/>
  <c r="F24"/>
  <c r="E24"/>
  <c r="D24"/>
  <c r="M23"/>
  <c r="L23"/>
  <c r="K23"/>
  <c r="J23"/>
  <c r="I23"/>
  <c r="H23"/>
  <c r="G23"/>
  <c r="F23"/>
  <c r="E23"/>
  <c r="D23"/>
  <c r="M21"/>
  <c r="L21"/>
  <c r="M20"/>
  <c r="L20"/>
  <c r="K20"/>
  <c r="J20"/>
  <c r="I20"/>
  <c r="H20"/>
  <c r="G20"/>
  <c r="F20"/>
  <c r="E20"/>
  <c r="D20"/>
  <c r="M19"/>
  <c r="L19"/>
  <c r="K19"/>
  <c r="J19"/>
  <c r="I19"/>
  <c r="H19"/>
  <c r="G19"/>
  <c r="F19"/>
  <c r="E19"/>
  <c r="D19"/>
  <c r="K18"/>
  <c r="J18"/>
  <c r="I18"/>
  <c r="H18"/>
  <c r="G18"/>
  <c r="F18"/>
  <c r="E18"/>
  <c r="D18"/>
  <c r="M17"/>
  <c r="L17"/>
  <c r="K17"/>
  <c r="J17"/>
  <c r="I17"/>
  <c r="H17"/>
  <c r="G17"/>
  <c r="F17"/>
  <c r="E17"/>
  <c r="D17"/>
  <c r="M16"/>
  <c r="L16"/>
  <c r="K16"/>
  <c r="J16"/>
  <c r="I16"/>
  <c r="H16"/>
  <c r="G16"/>
  <c r="F16"/>
  <c r="E16"/>
  <c r="D16"/>
  <c r="M15"/>
  <c r="L15"/>
  <c r="K15"/>
  <c r="J15"/>
  <c r="I15"/>
  <c r="H15"/>
  <c r="G15"/>
  <c r="F15"/>
  <c r="E15"/>
  <c r="D15"/>
  <c r="M14"/>
  <c r="L14"/>
  <c r="K14"/>
  <c r="J14"/>
  <c r="I14"/>
  <c r="H14"/>
  <c r="G14"/>
  <c r="F14"/>
  <c r="E14"/>
  <c r="D14"/>
  <c r="M12"/>
  <c r="L12"/>
  <c r="K12"/>
  <c r="J12"/>
  <c r="I12"/>
  <c r="H12"/>
  <c r="G12"/>
  <c r="F12"/>
  <c r="E12"/>
  <c r="D12"/>
  <c r="L11"/>
  <c r="K11"/>
  <c r="J11"/>
  <c r="I11"/>
  <c r="H11"/>
  <c r="G11"/>
  <c r="F11"/>
  <c r="E11"/>
  <c r="D11"/>
  <c r="M10"/>
  <c r="L10"/>
  <c r="K10"/>
  <c r="J10"/>
  <c r="I10"/>
  <c r="H10"/>
  <c r="G10"/>
  <c r="F10"/>
  <c r="E10"/>
  <c r="D10"/>
  <c r="M9"/>
  <c r="L9"/>
  <c r="K9"/>
  <c r="J9"/>
  <c r="I9"/>
  <c r="H9"/>
  <c r="G9"/>
  <c r="F9"/>
  <c r="E9"/>
  <c r="D9"/>
  <c r="M8"/>
  <c r="L8"/>
  <c r="K8"/>
  <c r="J8"/>
  <c r="I8"/>
  <c r="H8"/>
  <c r="G8"/>
  <c r="F8"/>
  <c r="E8"/>
  <c r="D8"/>
  <c r="M7"/>
  <c r="L7"/>
  <c r="K7"/>
  <c r="J7"/>
  <c r="I7"/>
  <c r="H7"/>
  <c r="G7"/>
  <c r="F7"/>
  <c r="E7"/>
  <c r="D7"/>
</calcChain>
</file>

<file path=xl/sharedStrings.xml><?xml version="1.0" encoding="utf-8"?>
<sst xmlns="http://schemas.openxmlformats.org/spreadsheetml/2006/main" count="45" uniqueCount="37">
  <si>
    <t>-</t>
  </si>
  <si>
    <t>жаһандық индикатордың атауы</t>
  </si>
  <si>
    <t>ұлттық индикатор</t>
  </si>
  <si>
    <t>өлшем бірлігі</t>
  </si>
  <si>
    <t>жылдар</t>
  </si>
  <si>
    <t>дереккөз</t>
  </si>
  <si>
    <t xml:space="preserve">Индикаторды қалыптастыруға  жауапты МО </t>
  </si>
  <si>
    <t>Саясатты іске асыруға жауапты МО</t>
  </si>
  <si>
    <t>Жаһандық өзгеріссіз - 1, жаһандық шағын өзгерістермен-2, альтернативті ұлттық-3, қосымша ұлттық-4</t>
  </si>
  <si>
    <t xml:space="preserve">9.2.2 Жалпы жұмыспен қамтудан пайызбен алғандағы өңдеуші өнеркәсіптегі жұмыспен қамтылу </t>
  </si>
  <si>
    <t>Өңдеу өнеркәсібінде жаңа жұмыс орындарын құру</t>
  </si>
  <si>
    <t>мың адам</t>
  </si>
  <si>
    <t>Өңірлер</t>
  </si>
  <si>
    <t>Ақмола</t>
  </si>
  <si>
    <t>Ақтөбе</t>
  </si>
  <si>
    <t>Алматы</t>
  </si>
  <si>
    <t>Атырау</t>
  </si>
  <si>
    <t>Батыс Қазақстан</t>
  </si>
  <si>
    <t>Жамбыл</t>
  </si>
  <si>
    <t>Қарағанды</t>
  </si>
  <si>
    <t>Қостанай</t>
  </si>
  <si>
    <t>Қызылорда</t>
  </si>
  <si>
    <t>Маңғыстау</t>
  </si>
  <si>
    <t>Оңтүстік Қазақстан</t>
  </si>
  <si>
    <t>Павлодар</t>
  </si>
  <si>
    <t>Солтүстік Қазақстан</t>
  </si>
  <si>
    <t>Түркістан</t>
  </si>
  <si>
    <t>Шығыс Қазақстан</t>
  </si>
  <si>
    <t>Алматы қаласы</t>
  </si>
  <si>
    <t>Шымкент қаласы</t>
  </si>
  <si>
    <t>Жергілікті атқарушы органдар</t>
  </si>
  <si>
    <t>Астана қаласы</t>
  </si>
  <si>
    <t>Абай</t>
  </si>
  <si>
    <t>Жетісу</t>
  </si>
  <si>
    <t>Ұлытау</t>
  </si>
  <si>
    <t>ҚР Өнеркәсіп және құрылыс министірлігі, 
ҚР Ұлттық экономика министрлігі, 
ҚР Ауыл шаруашылығы министрлігі, 
ҚР Қаржы министрлігі, 
ҚР Энергетика министрлігі, 
ҚР Денсаулық сақтау министрлігі, Жергілікті атқарушы органдар</t>
  </si>
  <si>
    <t>ҚР Өнеркәсіп және құрылыс министірлігі,   
ҚР Қаржы министрлігі, 
ҚР Энергетика министрлігі, 
ҚР Еңбек және халықты әлеуметтік қорғау министрлігі,
ҚР Ауыл шаруашылығы министрлігі,
ҚР Денсаулық сақтау министрлігі,
ҚР Цифрлық даму, инновациялар және аэроғарыш өнеркәсібі министрлігі, 
Жергілікті атқарушы органдар,</t>
  </si>
</sst>
</file>

<file path=xl/styles.xml><?xml version="1.0" encoding="utf-8"?>
<styleSheet xmlns="http://schemas.openxmlformats.org/spreadsheetml/2006/main">
  <numFmts count="1">
    <numFmt numFmtId="175" formatCode="0.0"/>
  </numFmts>
  <fonts count="15">
    <font>
      <sz val="10"/>
      <name val="Arial"/>
      <family val="2"/>
    </font>
    <font>
      <sz val="10"/>
      <name val="Arial"/>
      <family val="2"/>
    </font>
    <font>
      <sz val="7"/>
      <name val="Times New Roman"/>
      <family val="1"/>
      <charset val="204"/>
    </font>
    <font>
      <sz val="10"/>
      <name val="Arial"/>
      <family val="2"/>
      <charset val="204"/>
    </font>
    <font>
      <sz val="10"/>
      <name val="Times New Roman Cyr"/>
      <charset val="204"/>
    </font>
    <font>
      <sz val="11"/>
      <color indexed="8"/>
      <name val="Calibri"/>
      <family val="2"/>
      <charset val="204"/>
    </font>
    <font>
      <sz val="8"/>
      <name val="Arial"/>
      <family val="2"/>
    </font>
    <font>
      <sz val="8"/>
      <name val="Calibri"/>
      <family val="2"/>
      <charset val="204"/>
    </font>
    <font>
      <sz val="11"/>
      <color theme="1"/>
      <name val="Calibri"/>
      <family val="2"/>
      <charset val="204"/>
      <scheme val="minor"/>
    </font>
    <font>
      <sz val="12"/>
      <color theme="1"/>
      <name val="Calibri"/>
      <family val="2"/>
      <scheme val="minor"/>
    </font>
    <font>
      <sz val="11"/>
      <color theme="1"/>
      <name val="Calibri"/>
      <family val="2"/>
      <scheme val="minor"/>
    </font>
    <font>
      <sz val="10"/>
      <name val="Calibri"/>
      <family val="2"/>
      <charset val="204"/>
      <scheme val="minor"/>
    </font>
    <font>
      <sz val="8"/>
      <name val="Calibri"/>
      <family val="2"/>
      <charset val="204"/>
      <scheme val="minor"/>
    </font>
    <font>
      <sz val="8"/>
      <name val="Calibri"/>
      <family val="2"/>
      <scheme val="minor"/>
    </font>
    <font>
      <b/>
      <sz val="8"/>
      <color indexed="9"/>
      <name val="Calibri"/>
      <family val="2"/>
      <charset val="204"/>
      <scheme val="minor"/>
    </font>
  </fonts>
  <fills count="4">
    <fill>
      <patternFill patternType="none"/>
    </fill>
    <fill>
      <patternFill patternType="gray125"/>
    </fill>
    <fill>
      <patternFill patternType="solid">
        <fgColor indexed="56"/>
        <bgColor indexed="62"/>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style="thin">
        <color indexed="64"/>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s>
  <cellStyleXfs count="10">
    <xf numFmtId="0" fontId="0" fillId="0" borderId="0"/>
    <xf numFmtId="0" fontId="9" fillId="0" borderId="0"/>
    <xf numFmtId="0" fontId="4" fillId="0" borderId="0"/>
    <xf numFmtId="0" fontId="8" fillId="0" borderId="0"/>
    <xf numFmtId="0" fontId="8" fillId="0" borderId="0"/>
    <xf numFmtId="0" fontId="1" fillId="0" borderId="0"/>
    <xf numFmtId="0" fontId="10" fillId="0" borderId="0"/>
    <xf numFmtId="0" fontId="5" fillId="0" borderId="0"/>
    <xf numFmtId="0" fontId="3" fillId="0" borderId="0"/>
    <xf numFmtId="9" fontId="4" fillId="0" borderId="0" applyFont="0" applyFill="0" applyBorder="0" applyAlignment="0" applyProtection="0"/>
  </cellStyleXfs>
  <cellXfs count="43">
    <xf numFmtId="0" fontId="0" fillId="0" borderId="0" xfId="0"/>
    <xf numFmtId="0" fontId="11" fillId="0" borderId="0" xfId="0" applyFont="1"/>
    <xf numFmtId="0" fontId="2" fillId="0" borderId="1" xfId="0" applyFont="1" applyFill="1" applyBorder="1" applyAlignment="1">
      <alignment horizontal="center" vertical="center" wrapText="1"/>
    </xf>
    <xf numFmtId="0" fontId="0" fillId="0" borderId="0" xfId="0" applyFill="1"/>
    <xf numFmtId="175" fontId="12" fillId="0" borderId="1" xfId="0" applyNumberFormat="1" applyFont="1" applyFill="1" applyBorder="1" applyAlignment="1">
      <alignment horizontal="right"/>
    </xf>
    <xf numFmtId="0" fontId="12" fillId="0" borderId="1" xfId="0" applyFont="1" applyFill="1" applyBorder="1" applyAlignment="1">
      <alignment horizontal="right"/>
    </xf>
    <xf numFmtId="175" fontId="12" fillId="0" borderId="1" xfId="0" applyNumberFormat="1" applyFont="1" applyFill="1" applyBorder="1"/>
    <xf numFmtId="0" fontId="0" fillId="0" borderId="0" xfId="0" applyFill="1" applyBorder="1"/>
    <xf numFmtId="0" fontId="12" fillId="0" borderId="2" xfId="0" applyFont="1" applyFill="1" applyBorder="1" applyAlignment="1">
      <alignment horizontal="right" vertical="top" wrapText="1"/>
    </xf>
    <xf numFmtId="0" fontId="0" fillId="0" borderId="1" xfId="0" applyFont="1" applyFill="1" applyBorder="1"/>
    <xf numFmtId="0" fontId="12" fillId="0" borderId="1" xfId="0" applyFont="1" applyFill="1" applyBorder="1" applyAlignment="1">
      <alignment horizontal="left" vertical="top"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top" wrapText="1"/>
    </xf>
    <xf numFmtId="175" fontId="12" fillId="0" borderId="3" xfId="0" applyNumberFormat="1" applyFont="1" applyFill="1" applyBorder="1"/>
    <xf numFmtId="0" fontId="13" fillId="0" borderId="1" xfId="0" applyFont="1" applyFill="1" applyBorder="1" applyAlignment="1">
      <alignment horizontal="left" vertical="top" wrapText="1"/>
    </xf>
    <xf numFmtId="0" fontId="13" fillId="0" borderId="1" xfId="0" applyFont="1" applyFill="1" applyBorder="1" applyAlignment="1">
      <alignment horizontal="center" vertical="center" wrapText="1"/>
    </xf>
    <xf numFmtId="0" fontId="6" fillId="0" borderId="0" xfId="0" applyFont="1"/>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2" fillId="0" borderId="1" xfId="0" applyFont="1" applyFill="1" applyBorder="1" applyAlignment="1">
      <alignment vertical="top" wrapText="1"/>
    </xf>
    <xf numFmtId="1" fontId="12" fillId="0" borderId="1" xfId="0" applyNumberFormat="1" applyFont="1" applyFill="1" applyBorder="1"/>
    <xf numFmtId="175" fontId="12" fillId="3" borderId="1" xfId="0" applyNumberFormat="1" applyFont="1" applyFill="1" applyBorder="1"/>
    <xf numFmtId="175" fontId="0" fillId="0" borderId="1" xfId="0" applyNumberFormat="1" applyFont="1" applyFill="1" applyBorder="1" applyAlignment="1">
      <alignment horizontal="right"/>
    </xf>
    <xf numFmtId="1" fontId="12" fillId="0" borderId="1" xfId="0" applyNumberFormat="1" applyFont="1" applyFill="1" applyBorder="1" applyAlignment="1">
      <alignment horizontal="right"/>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7" fillId="0" borderId="1" xfId="0" applyFont="1" applyFill="1" applyBorder="1" applyAlignment="1">
      <alignment horizontal="right"/>
    </xf>
    <xf numFmtId="0" fontId="1" fillId="0" borderId="1" xfId="0" applyFont="1" applyFill="1" applyBorder="1"/>
    <xf numFmtId="175" fontId="12" fillId="0" borderId="1" xfId="0" applyNumberFormat="1" applyFont="1" applyFill="1" applyBorder="1" applyAlignment="1">
      <alignment horizontal="right" vertical="center"/>
    </xf>
    <xf numFmtId="0" fontId="0" fillId="0" borderId="1" xfId="0" applyFont="1" applyFill="1" applyBorder="1" applyAlignment="1">
      <alignment horizontal="right"/>
    </xf>
    <xf numFmtId="49" fontId="14" fillId="2" borderId="5" xfId="0" applyNumberFormat="1" applyFont="1" applyFill="1" applyBorder="1" applyAlignment="1">
      <alignment horizontal="center" vertical="center" wrapText="1"/>
    </xf>
    <xf numFmtId="49" fontId="14" fillId="2" borderId="6" xfId="0" applyNumberFormat="1"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1" fontId="3" fillId="3" borderId="1" xfId="0" applyNumberFormat="1" applyFont="1" applyFill="1" applyBorder="1" applyAlignment="1">
      <alignment horizontal="right"/>
    </xf>
    <xf numFmtId="1" fontId="12" fillId="3" borderId="1" xfId="0" applyNumberFormat="1" applyFont="1" applyFill="1" applyBorder="1" applyAlignment="1">
      <alignment horizontal="right" vertical="center"/>
    </xf>
  </cellXfs>
  <cellStyles count="10">
    <cellStyle name="Normal 2" xfId="1"/>
    <cellStyle name="Обычный" xfId="0" builtinId="0"/>
    <cellStyle name="Обычный 2" xfId="2"/>
    <cellStyle name="Обычный 3" xfId="3"/>
    <cellStyle name="Обычный 3 2 2 2" xfId="4"/>
    <cellStyle name="Обычный 4" xfId="5"/>
    <cellStyle name="Обычный 5" xfId="6"/>
    <cellStyle name="Обычный 6" xfId="7"/>
    <cellStyle name="Обычный 7" xfId="8"/>
    <cellStyle name="Процентный 2" xfId="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EEEEE"/>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458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dimension ref="A1:W1385"/>
  <sheetViews>
    <sheetView tabSelected="1" zoomScale="90" zoomScaleNormal="90" workbookViewId="0">
      <pane ySplit="3" topLeftCell="A4" activePane="bottomLeft" state="frozen"/>
      <selection pane="bottomLeft" activeCell="Q29" sqref="Q29"/>
    </sheetView>
  </sheetViews>
  <sheetFormatPr defaultColWidth="8.85546875" defaultRowHeight="12.75"/>
  <cols>
    <col min="1" max="1" width="29.42578125" customWidth="1"/>
    <col min="2" max="2" width="27" customWidth="1"/>
    <col min="3" max="3" width="16.42578125" customWidth="1"/>
    <col min="4" max="8" width="10.7109375" customWidth="1"/>
    <col min="9" max="9" width="10.7109375" style="3" customWidth="1"/>
    <col min="10" max="19" width="10.7109375" customWidth="1"/>
    <col min="20" max="20" width="19.28515625" customWidth="1"/>
    <col min="21" max="21" width="28.140625" customWidth="1"/>
    <col min="22" max="23" width="28.85546875" customWidth="1"/>
    <col min="24" max="24" width="39.7109375" customWidth="1"/>
    <col min="25" max="25" width="32.7109375" customWidth="1"/>
    <col min="26" max="26" width="35.7109375" customWidth="1"/>
    <col min="27" max="27" width="30.7109375" customWidth="1"/>
  </cols>
  <sheetData>
    <row r="1" spans="1:23" ht="18" customHeight="1">
      <c r="A1" s="1"/>
    </row>
    <row r="2" spans="1:23" s="16" customFormat="1" ht="29.25" customHeight="1">
      <c r="A2" s="35" t="s">
        <v>1</v>
      </c>
      <c r="B2" s="35" t="s">
        <v>2</v>
      </c>
      <c r="C2" s="35" t="s">
        <v>3</v>
      </c>
      <c r="D2" s="38" t="s">
        <v>4</v>
      </c>
      <c r="E2" s="39"/>
      <c r="F2" s="39"/>
      <c r="G2" s="39"/>
      <c r="H2" s="39"/>
      <c r="I2" s="39"/>
      <c r="J2" s="39"/>
      <c r="K2" s="39"/>
      <c r="L2" s="39"/>
      <c r="M2" s="39"/>
      <c r="N2" s="39"/>
      <c r="O2" s="39"/>
      <c r="P2" s="39"/>
      <c r="Q2" s="39"/>
      <c r="R2" s="39"/>
      <c r="S2" s="40"/>
      <c r="T2" s="36" t="s">
        <v>5</v>
      </c>
      <c r="U2" s="35" t="s">
        <v>6</v>
      </c>
      <c r="V2" s="35" t="s">
        <v>7</v>
      </c>
      <c r="W2" s="33" t="s">
        <v>8</v>
      </c>
    </row>
    <row r="3" spans="1:23" s="16" customFormat="1" ht="30.75" customHeight="1">
      <c r="A3" s="35"/>
      <c r="B3" s="35"/>
      <c r="C3" s="35"/>
      <c r="D3" s="17">
        <v>2010</v>
      </c>
      <c r="E3" s="17">
        <v>2011</v>
      </c>
      <c r="F3" s="17">
        <v>2012</v>
      </c>
      <c r="G3" s="17">
        <v>2013</v>
      </c>
      <c r="H3" s="17">
        <v>2014</v>
      </c>
      <c r="I3" s="17">
        <v>2015</v>
      </c>
      <c r="J3" s="17">
        <v>2016</v>
      </c>
      <c r="K3" s="17">
        <v>2017</v>
      </c>
      <c r="L3" s="17">
        <v>2018</v>
      </c>
      <c r="M3" s="17">
        <v>2019</v>
      </c>
      <c r="N3" s="18">
        <v>2020</v>
      </c>
      <c r="O3" s="24">
        <v>2021</v>
      </c>
      <c r="P3" s="25">
        <v>2022</v>
      </c>
      <c r="Q3" s="26">
        <v>2023</v>
      </c>
      <c r="R3" s="27">
        <v>2024</v>
      </c>
      <c r="S3" s="28">
        <v>2025</v>
      </c>
      <c r="T3" s="37"/>
      <c r="U3" s="35"/>
      <c r="V3" s="36"/>
      <c r="W3" s="34"/>
    </row>
    <row r="4" spans="1:23" s="3" customFormat="1" ht="131.25" customHeight="1">
      <c r="A4" s="10" t="s">
        <v>9</v>
      </c>
      <c r="B4" s="14" t="s">
        <v>10</v>
      </c>
      <c r="C4" s="15" t="s">
        <v>11</v>
      </c>
      <c r="D4" s="20">
        <f>SUM(D8:D29)</f>
        <v>23.751999999999999</v>
      </c>
      <c r="E4" s="6">
        <f t="shared" ref="E4:M4" si="0">SUM(E8:E29)</f>
        <v>24.427999999999997</v>
      </c>
      <c r="F4" s="6">
        <f t="shared" si="0"/>
        <v>19.524999999999995</v>
      </c>
      <c r="G4" s="6">
        <f t="shared" si="0"/>
        <v>19.875999999999998</v>
      </c>
      <c r="H4" s="6">
        <f t="shared" si="0"/>
        <v>20.249000000000002</v>
      </c>
      <c r="I4" s="6">
        <f t="shared" si="0"/>
        <v>19.526000000000007</v>
      </c>
      <c r="J4" s="6">
        <f>SUM(J8:J29)</f>
        <v>20.2</v>
      </c>
      <c r="K4" s="6">
        <f>SUM(K8:K29)</f>
        <v>16.083000000000002</v>
      </c>
      <c r="L4" s="6">
        <f t="shared" si="0"/>
        <v>15.247</v>
      </c>
      <c r="M4" s="6">
        <f t="shared" si="0"/>
        <v>6.0130000000000017</v>
      </c>
      <c r="N4" s="6">
        <v>18.7</v>
      </c>
      <c r="O4" s="6">
        <v>9</v>
      </c>
      <c r="P4" s="4">
        <v>12.5</v>
      </c>
      <c r="Q4" s="4">
        <v>13.2</v>
      </c>
      <c r="R4" s="4">
        <v>14.4</v>
      </c>
      <c r="S4" s="4">
        <v>21.9</v>
      </c>
      <c r="T4" s="19" t="s">
        <v>30</v>
      </c>
      <c r="U4" s="19" t="s">
        <v>35</v>
      </c>
      <c r="V4" s="19" t="s">
        <v>36</v>
      </c>
      <c r="W4" s="11">
        <v>1</v>
      </c>
    </row>
    <row r="5" spans="1:23" s="3" customFormat="1">
      <c r="A5" s="10"/>
      <c r="B5" s="10" t="s">
        <v>12</v>
      </c>
      <c r="C5" s="2"/>
      <c r="D5" s="20"/>
      <c r="E5" s="6"/>
      <c r="F5" s="6"/>
      <c r="G5" s="6"/>
      <c r="H5" s="20"/>
      <c r="I5" s="6"/>
      <c r="J5" s="6"/>
      <c r="K5" s="6"/>
      <c r="L5" s="6"/>
      <c r="M5" s="6"/>
      <c r="N5" s="21"/>
      <c r="O5" s="21"/>
      <c r="P5" s="21"/>
      <c r="Q5" s="21"/>
      <c r="R5" s="21"/>
      <c r="S5" s="30"/>
      <c r="T5" s="9"/>
      <c r="U5" s="9"/>
      <c r="V5" s="9"/>
      <c r="W5" s="9"/>
    </row>
    <row r="6" spans="1:23" s="3" customFormat="1">
      <c r="A6" s="10"/>
      <c r="B6" s="29" t="s">
        <v>32</v>
      </c>
      <c r="C6" s="2"/>
      <c r="D6" s="20"/>
      <c r="E6" s="6"/>
      <c r="F6" s="6"/>
      <c r="G6" s="6"/>
      <c r="H6" s="20"/>
      <c r="I6" s="6"/>
      <c r="J6" s="6"/>
      <c r="K6" s="6"/>
      <c r="L6" s="6"/>
      <c r="M6" s="6"/>
      <c r="N6" s="6"/>
      <c r="O6" s="6"/>
      <c r="P6" s="30"/>
      <c r="Q6" s="31">
        <v>0.2</v>
      </c>
      <c r="R6" s="31">
        <v>0.4</v>
      </c>
      <c r="S6" s="31">
        <v>0.4</v>
      </c>
      <c r="T6" s="9"/>
      <c r="U6" s="9"/>
      <c r="V6" s="9"/>
      <c r="W6" s="9"/>
    </row>
    <row r="7" spans="1:23" s="3" customFormat="1">
      <c r="A7" s="10"/>
      <c r="B7" s="5" t="s">
        <v>13</v>
      </c>
      <c r="C7" s="2"/>
      <c r="D7" s="6">
        <f>3780/1000</f>
        <v>3.78</v>
      </c>
      <c r="E7" s="6">
        <f>1870/1000</f>
        <v>1.87</v>
      </c>
      <c r="F7" s="6">
        <f>1090/1000</f>
        <v>1.0900000000000001</v>
      </c>
      <c r="G7" s="6">
        <f>1033/1000</f>
        <v>1.0329999999999999</v>
      </c>
      <c r="H7" s="6">
        <f>1446/1000</f>
        <v>1.446</v>
      </c>
      <c r="I7" s="6">
        <f>1971/1000</f>
        <v>1.9710000000000001</v>
      </c>
      <c r="J7" s="6">
        <f>1902/1000</f>
        <v>1.9019999999999999</v>
      </c>
      <c r="K7" s="6">
        <f>1819/1000</f>
        <v>1.819</v>
      </c>
      <c r="L7" s="6">
        <f>1546/1000</f>
        <v>1.546</v>
      </c>
      <c r="M7" s="6">
        <f>139/1000</f>
        <v>0.13900000000000001</v>
      </c>
      <c r="N7" s="6">
        <v>1.2</v>
      </c>
      <c r="O7" s="6">
        <v>0.74</v>
      </c>
      <c r="P7" s="6">
        <v>2.4</v>
      </c>
      <c r="Q7" s="31">
        <v>0.2</v>
      </c>
      <c r="R7" s="31">
        <v>0.2</v>
      </c>
      <c r="S7" s="31">
        <v>0.3</v>
      </c>
      <c r="T7" s="9"/>
      <c r="U7" s="9"/>
      <c r="V7" s="12"/>
      <c r="W7" s="9"/>
    </row>
    <row r="8" spans="1:23" s="3" customFormat="1">
      <c r="A8" s="10"/>
      <c r="B8" s="5" t="s">
        <v>14</v>
      </c>
      <c r="C8" s="2"/>
      <c r="D8" s="6">
        <f>3033/1000</f>
        <v>3.0329999999999999</v>
      </c>
      <c r="E8" s="6">
        <f>2809/1000</f>
        <v>2.8090000000000002</v>
      </c>
      <c r="F8" s="6">
        <f>987/1000</f>
        <v>0.98699999999999999</v>
      </c>
      <c r="G8" s="6">
        <f>1455/1000</f>
        <v>1.4550000000000001</v>
      </c>
      <c r="H8" s="6">
        <f>1197/1000</f>
        <v>1.1970000000000001</v>
      </c>
      <c r="I8" s="6">
        <f>2092/1000</f>
        <v>2.0920000000000001</v>
      </c>
      <c r="J8" s="6">
        <f>1154/1000</f>
        <v>1.1539999999999999</v>
      </c>
      <c r="K8" s="6">
        <f>746/1000</f>
        <v>0.746</v>
      </c>
      <c r="L8" s="6">
        <f>538/1000</f>
        <v>0.53800000000000003</v>
      </c>
      <c r="M8" s="6">
        <f>80/1000</f>
        <v>0.08</v>
      </c>
      <c r="N8" s="6">
        <v>1.2</v>
      </c>
      <c r="O8" s="6">
        <v>0.42</v>
      </c>
      <c r="P8" s="6">
        <v>0.9</v>
      </c>
      <c r="Q8" s="31">
        <v>0.8</v>
      </c>
      <c r="R8" s="31">
        <v>1</v>
      </c>
      <c r="S8" s="31">
        <v>0.3</v>
      </c>
      <c r="T8" s="9"/>
      <c r="U8" s="9"/>
      <c r="V8" s="9"/>
      <c r="W8" s="9"/>
    </row>
    <row r="9" spans="1:23" s="3" customFormat="1">
      <c r="A9" s="10"/>
      <c r="B9" s="5" t="s">
        <v>15</v>
      </c>
      <c r="C9" s="2"/>
      <c r="D9" s="6">
        <f>1516/1000</f>
        <v>1.516</v>
      </c>
      <c r="E9" s="6">
        <f>2746/1000</f>
        <v>2.746</v>
      </c>
      <c r="F9" s="6">
        <f>2261/1000</f>
        <v>2.2610000000000001</v>
      </c>
      <c r="G9" s="6">
        <f>2539/1000</f>
        <v>2.5390000000000001</v>
      </c>
      <c r="H9" s="6">
        <f>2020/1000</f>
        <v>2.02</v>
      </c>
      <c r="I9" s="6">
        <f>1709/1000</f>
        <v>1.7090000000000001</v>
      </c>
      <c r="J9" s="6">
        <f>1650/1000</f>
        <v>1.65</v>
      </c>
      <c r="K9" s="6">
        <f>1270/1000</f>
        <v>1.27</v>
      </c>
      <c r="L9" s="6">
        <f>866/1000</f>
        <v>0.86599999999999999</v>
      </c>
      <c r="M9" s="6">
        <f>973/1000</f>
        <v>0.97299999999999998</v>
      </c>
      <c r="N9" s="6">
        <v>2.8</v>
      </c>
      <c r="O9" s="6">
        <v>0.32</v>
      </c>
      <c r="P9" s="6">
        <v>1</v>
      </c>
      <c r="Q9" s="31">
        <v>1.8</v>
      </c>
      <c r="R9" s="31">
        <v>1.9</v>
      </c>
      <c r="S9" s="31">
        <v>1.9</v>
      </c>
      <c r="T9" s="9"/>
      <c r="U9" s="9"/>
      <c r="V9" s="9"/>
      <c r="W9" s="9"/>
    </row>
    <row r="10" spans="1:23" s="3" customFormat="1">
      <c r="A10" s="10"/>
      <c r="B10" s="5" t="s">
        <v>16</v>
      </c>
      <c r="C10" s="2"/>
      <c r="D10" s="6">
        <f>1536/1000</f>
        <v>1.536</v>
      </c>
      <c r="E10" s="6">
        <f>1198/1000</f>
        <v>1.198</v>
      </c>
      <c r="F10" s="6">
        <f>695/1000</f>
        <v>0.69499999999999995</v>
      </c>
      <c r="G10" s="6">
        <f>580/1000</f>
        <v>0.57999999999999996</v>
      </c>
      <c r="H10" s="6">
        <f>967/1000</f>
        <v>0.96699999999999997</v>
      </c>
      <c r="I10" s="6">
        <f>980/1000</f>
        <v>0.98</v>
      </c>
      <c r="J10" s="6">
        <f>1435/1000</f>
        <v>1.4350000000000001</v>
      </c>
      <c r="K10" s="6">
        <f>744/1000</f>
        <v>0.74399999999999999</v>
      </c>
      <c r="L10" s="6">
        <f>362/1000</f>
        <v>0.36199999999999999</v>
      </c>
      <c r="M10" s="6">
        <f>113/1000</f>
        <v>0.113</v>
      </c>
      <c r="N10" s="6">
        <v>0.6</v>
      </c>
      <c r="O10" s="6">
        <v>0.14000000000000001</v>
      </c>
      <c r="P10" s="6">
        <v>0.6</v>
      </c>
      <c r="Q10" s="31">
        <v>0.1</v>
      </c>
      <c r="R10" s="31">
        <v>0.1</v>
      </c>
      <c r="S10" s="31">
        <v>0.6</v>
      </c>
      <c r="T10" s="9"/>
      <c r="U10" s="9"/>
      <c r="V10" s="9"/>
      <c r="W10" s="9"/>
    </row>
    <row r="11" spans="1:23" s="3" customFormat="1">
      <c r="A11" s="10"/>
      <c r="B11" s="5" t="s">
        <v>17</v>
      </c>
      <c r="C11" s="2"/>
      <c r="D11" s="6">
        <f>1034/1000</f>
        <v>1.034</v>
      </c>
      <c r="E11" s="6">
        <f>784/1000</f>
        <v>0.78400000000000003</v>
      </c>
      <c r="F11" s="6">
        <f>756/1000</f>
        <v>0.75600000000000001</v>
      </c>
      <c r="G11" s="6">
        <f>601/1000</f>
        <v>0.60099999999999998</v>
      </c>
      <c r="H11" s="6">
        <f>913/1000</f>
        <v>0.91300000000000003</v>
      </c>
      <c r="I11" s="6">
        <f>873/1000</f>
        <v>0.873</v>
      </c>
      <c r="J11" s="6">
        <f>1028/1000</f>
        <v>1.028</v>
      </c>
      <c r="K11" s="6">
        <f>1036/1000</f>
        <v>1.036</v>
      </c>
      <c r="L11" s="6">
        <f>497/1000</f>
        <v>0.497</v>
      </c>
      <c r="M11" s="4" t="s">
        <v>0</v>
      </c>
      <c r="N11" s="4">
        <v>0.3</v>
      </c>
      <c r="O11" s="4">
        <v>0.22</v>
      </c>
      <c r="P11" s="6">
        <v>0.6</v>
      </c>
      <c r="Q11" s="31">
        <v>0.1</v>
      </c>
      <c r="R11" s="31">
        <v>0.2</v>
      </c>
      <c r="S11" s="31">
        <v>0.1</v>
      </c>
      <c r="T11" s="9"/>
      <c r="U11" s="9"/>
      <c r="V11" s="9"/>
      <c r="W11" s="9"/>
    </row>
    <row r="12" spans="1:23" s="3" customFormat="1">
      <c r="A12" s="10"/>
      <c r="B12" s="5" t="s">
        <v>18</v>
      </c>
      <c r="C12" s="2"/>
      <c r="D12" s="6">
        <f>2805/1000</f>
        <v>2.8050000000000002</v>
      </c>
      <c r="E12" s="6">
        <f>2125/1000</f>
        <v>2.125</v>
      </c>
      <c r="F12" s="6">
        <f>430/1000</f>
        <v>0.43</v>
      </c>
      <c r="G12" s="6">
        <f>838/1000</f>
        <v>0.83799999999999997</v>
      </c>
      <c r="H12" s="6">
        <f>1593/1000</f>
        <v>1.593</v>
      </c>
      <c r="I12" s="6">
        <f>1215/1000</f>
        <v>1.2150000000000001</v>
      </c>
      <c r="J12" s="6">
        <f>1146/1000</f>
        <v>1.1459999999999999</v>
      </c>
      <c r="K12" s="6">
        <f>1416/1000</f>
        <v>1.4159999999999999</v>
      </c>
      <c r="L12" s="6">
        <f>1091/1000</f>
        <v>1.091</v>
      </c>
      <c r="M12" s="6">
        <f>127/1000</f>
        <v>0.127</v>
      </c>
      <c r="N12" s="6">
        <v>1.4</v>
      </c>
      <c r="O12" s="6">
        <v>0.6</v>
      </c>
      <c r="P12" s="6">
        <v>0.6</v>
      </c>
      <c r="Q12" s="31">
        <v>1.1000000000000001</v>
      </c>
      <c r="R12" s="31">
        <v>1.2</v>
      </c>
      <c r="S12" s="31">
        <v>0.1</v>
      </c>
      <c r="T12" s="9"/>
      <c r="U12" s="9"/>
      <c r="V12" s="9"/>
      <c r="W12" s="9"/>
    </row>
    <row r="13" spans="1:23" s="3" customFormat="1">
      <c r="A13" s="10"/>
      <c r="B13" s="29" t="s">
        <v>33</v>
      </c>
      <c r="C13" s="2"/>
      <c r="D13" s="13"/>
      <c r="E13" s="13"/>
      <c r="F13" s="6"/>
      <c r="G13" s="6"/>
      <c r="H13" s="6"/>
      <c r="I13" s="6"/>
      <c r="J13" s="6"/>
      <c r="K13" s="6"/>
      <c r="L13" s="6"/>
      <c r="M13" s="6"/>
      <c r="N13" s="6"/>
      <c r="O13" s="6"/>
      <c r="P13" s="6"/>
      <c r="Q13" s="31">
        <v>0.1</v>
      </c>
      <c r="R13" s="31">
        <v>0.1</v>
      </c>
      <c r="S13" s="31">
        <v>0.6</v>
      </c>
      <c r="T13" s="9"/>
      <c r="U13" s="9"/>
      <c r="V13" s="9"/>
      <c r="W13" s="9"/>
    </row>
    <row r="14" spans="1:23" s="3" customFormat="1">
      <c r="A14" s="10"/>
      <c r="B14" s="5" t="s">
        <v>19</v>
      </c>
      <c r="C14" s="2"/>
      <c r="D14" s="6">
        <f>2163/1000</f>
        <v>2.1629999999999998</v>
      </c>
      <c r="E14" s="6">
        <f>1933/1000</f>
        <v>1.9330000000000001</v>
      </c>
      <c r="F14" s="6">
        <f>1610/1000</f>
        <v>1.61</v>
      </c>
      <c r="G14" s="6">
        <f>1561/1000</f>
        <v>1.5609999999999999</v>
      </c>
      <c r="H14" s="6">
        <f>1637/1000</f>
        <v>1.637</v>
      </c>
      <c r="I14" s="6">
        <f>1549/1000</f>
        <v>1.5489999999999999</v>
      </c>
      <c r="J14" s="6">
        <f>2098/1000</f>
        <v>2.0979999999999999</v>
      </c>
      <c r="K14" s="6">
        <f>601/1000</f>
        <v>0.60099999999999998</v>
      </c>
      <c r="L14" s="6">
        <f>989/1000</f>
        <v>0.98899999999999999</v>
      </c>
      <c r="M14" s="6">
        <f>881/1000</f>
        <v>0.88100000000000001</v>
      </c>
      <c r="N14" s="6">
        <v>2.5</v>
      </c>
      <c r="O14" s="6">
        <v>0.8</v>
      </c>
      <c r="P14" s="6">
        <v>1.7</v>
      </c>
      <c r="Q14" s="31">
        <v>1</v>
      </c>
      <c r="R14" s="31">
        <v>1.1000000000000001</v>
      </c>
      <c r="S14" s="31">
        <v>2.2000000000000002</v>
      </c>
      <c r="T14" s="9"/>
      <c r="U14" s="9"/>
      <c r="V14" s="9"/>
      <c r="W14" s="9"/>
    </row>
    <row r="15" spans="1:23" s="3" customFormat="1">
      <c r="A15" s="10"/>
      <c r="B15" s="5" t="s">
        <v>20</v>
      </c>
      <c r="C15" s="2"/>
      <c r="D15" s="6">
        <f>1300/1000</f>
        <v>1.3</v>
      </c>
      <c r="E15" s="6">
        <f>1881/1000</f>
        <v>1.881</v>
      </c>
      <c r="F15" s="6">
        <f>1528/1000</f>
        <v>1.528</v>
      </c>
      <c r="G15" s="6">
        <f>1544/1000</f>
        <v>1.544</v>
      </c>
      <c r="H15" s="6">
        <f>955/1000</f>
        <v>0.95499999999999996</v>
      </c>
      <c r="I15" s="6">
        <f>626/1000</f>
        <v>0.626</v>
      </c>
      <c r="J15" s="6">
        <f>497/1000</f>
        <v>0.497</v>
      </c>
      <c r="K15" s="6">
        <f>394/1000</f>
        <v>0.39400000000000002</v>
      </c>
      <c r="L15" s="6">
        <f>378/1000</f>
        <v>0.378</v>
      </c>
      <c r="M15" s="6">
        <f>550/1000</f>
        <v>0.55000000000000004</v>
      </c>
      <c r="N15" s="6">
        <v>0.4</v>
      </c>
      <c r="O15" s="6">
        <v>0.2</v>
      </c>
      <c r="P15" s="6">
        <v>0.6</v>
      </c>
      <c r="Q15" s="31">
        <v>1.5</v>
      </c>
      <c r="R15" s="31">
        <v>1.6</v>
      </c>
      <c r="S15" s="31">
        <v>2.5</v>
      </c>
      <c r="T15" s="9"/>
      <c r="U15" s="9"/>
      <c r="V15" s="9"/>
      <c r="W15" s="9"/>
    </row>
    <row r="16" spans="1:23" s="3" customFormat="1">
      <c r="A16" s="10"/>
      <c r="B16" s="5" t="s">
        <v>21</v>
      </c>
      <c r="C16" s="2"/>
      <c r="D16" s="6">
        <f>347/1000</f>
        <v>0.34699999999999998</v>
      </c>
      <c r="E16" s="6">
        <f>767/1000</f>
        <v>0.76700000000000002</v>
      </c>
      <c r="F16" s="6">
        <f>315/1000</f>
        <v>0.315</v>
      </c>
      <c r="G16" s="13">
        <f>95/1000</f>
        <v>9.5000000000000001E-2</v>
      </c>
      <c r="H16" s="6">
        <f>1023/1000</f>
        <v>1.0229999999999999</v>
      </c>
      <c r="I16" s="6">
        <f>953/1000</f>
        <v>0.95299999999999996</v>
      </c>
      <c r="J16" s="6">
        <f>679/1000</f>
        <v>0.67900000000000005</v>
      </c>
      <c r="K16" s="6">
        <f>145/1000</f>
        <v>0.14499999999999999</v>
      </c>
      <c r="L16" s="6">
        <f>486/1000</f>
        <v>0.48599999999999999</v>
      </c>
      <c r="M16" s="6">
        <f>105/1000</f>
        <v>0.105</v>
      </c>
      <c r="N16" s="6">
        <v>0.3</v>
      </c>
      <c r="O16" s="6">
        <v>0.1</v>
      </c>
      <c r="P16" s="6">
        <v>0.2</v>
      </c>
      <c r="Q16" s="31">
        <v>0.2</v>
      </c>
      <c r="R16" s="31">
        <v>0.2</v>
      </c>
      <c r="S16" s="31">
        <v>0.4</v>
      </c>
      <c r="T16" s="9"/>
      <c r="U16" s="9"/>
      <c r="V16" s="9"/>
      <c r="W16" s="9"/>
    </row>
    <row r="17" spans="1:23" s="3" customFormat="1">
      <c r="A17" s="10"/>
      <c r="B17" s="5" t="s">
        <v>22</v>
      </c>
      <c r="C17" s="2"/>
      <c r="D17" s="6">
        <f>1633/1000</f>
        <v>1.633</v>
      </c>
      <c r="E17" s="6">
        <f>2260/1000</f>
        <v>2.2599999999999998</v>
      </c>
      <c r="F17" s="6">
        <f>1962/1000</f>
        <v>1.962</v>
      </c>
      <c r="G17" s="6">
        <f>819/1000</f>
        <v>0.81899999999999995</v>
      </c>
      <c r="H17" s="6">
        <f>1115/1000</f>
        <v>1.115</v>
      </c>
      <c r="I17" s="6">
        <f>983/1000</f>
        <v>0.98299999999999998</v>
      </c>
      <c r="J17" s="6">
        <f>883/1000</f>
        <v>0.88300000000000001</v>
      </c>
      <c r="K17" s="6">
        <f>853/1000</f>
        <v>0.85299999999999998</v>
      </c>
      <c r="L17" s="6">
        <f>120/1000</f>
        <v>0.12</v>
      </c>
      <c r="M17" s="6">
        <f>40/1000</f>
        <v>0.04</v>
      </c>
      <c r="N17" s="6">
        <v>0.3</v>
      </c>
      <c r="O17" s="6">
        <v>0.61</v>
      </c>
      <c r="P17" s="6">
        <v>0.4</v>
      </c>
      <c r="Q17" s="31">
        <v>0.1</v>
      </c>
      <c r="R17" s="31">
        <v>0.1</v>
      </c>
      <c r="S17" s="31">
        <v>0.4</v>
      </c>
      <c r="T17" s="9"/>
      <c r="U17" s="9"/>
      <c r="V17" s="9"/>
      <c r="W17" s="9"/>
    </row>
    <row r="18" spans="1:23" s="3" customFormat="1">
      <c r="A18" s="10"/>
      <c r="B18" s="5" t="s">
        <v>23</v>
      </c>
      <c r="C18" s="2"/>
      <c r="D18" s="6">
        <f>2105/1000</f>
        <v>2.105</v>
      </c>
      <c r="E18" s="6">
        <f>1628/1000</f>
        <v>1.6279999999999999</v>
      </c>
      <c r="F18" s="6">
        <f>2158/1000</f>
        <v>2.1579999999999999</v>
      </c>
      <c r="G18" s="6">
        <f>3652/1000</f>
        <v>3.6520000000000001</v>
      </c>
      <c r="H18" s="6">
        <f>3689/1000</f>
        <v>3.6890000000000001</v>
      </c>
      <c r="I18" s="6">
        <f>2931/1000</f>
        <v>2.931</v>
      </c>
      <c r="J18" s="6">
        <f>1908/1000</f>
        <v>1.9079999999999999</v>
      </c>
      <c r="K18" s="6">
        <f>2860/1000</f>
        <v>2.86</v>
      </c>
      <c r="L18" s="22" t="s">
        <v>0</v>
      </c>
      <c r="M18" s="22" t="s">
        <v>0</v>
      </c>
      <c r="N18" s="32" t="s">
        <v>0</v>
      </c>
      <c r="O18" s="32" t="s">
        <v>0</v>
      </c>
      <c r="P18" s="32" t="s">
        <v>0</v>
      </c>
      <c r="Q18" s="32" t="s">
        <v>0</v>
      </c>
      <c r="R18" s="32" t="s">
        <v>0</v>
      </c>
      <c r="S18" s="41" t="s">
        <v>0</v>
      </c>
      <c r="T18" s="9"/>
      <c r="U18" s="9"/>
      <c r="V18" s="9"/>
      <c r="W18" s="9"/>
    </row>
    <row r="19" spans="1:23" s="3" customFormat="1">
      <c r="A19" s="10"/>
      <c r="B19" s="5" t="s">
        <v>24</v>
      </c>
      <c r="C19" s="2"/>
      <c r="D19" s="6">
        <f>2513/1000</f>
        <v>2.5129999999999999</v>
      </c>
      <c r="E19" s="6">
        <f>1278/1000</f>
        <v>1.278</v>
      </c>
      <c r="F19" s="6">
        <f>1432/1000</f>
        <v>1.4319999999999999</v>
      </c>
      <c r="G19" s="6">
        <f>1257/1000</f>
        <v>1.2569999999999999</v>
      </c>
      <c r="H19" s="6">
        <f>1589/1000</f>
        <v>1.589</v>
      </c>
      <c r="I19" s="6">
        <f>2192/1000</f>
        <v>2.1920000000000002</v>
      </c>
      <c r="J19" s="6">
        <f>1324/1000</f>
        <v>1.3240000000000001</v>
      </c>
      <c r="K19" s="6">
        <f>1055/1000</f>
        <v>1.0549999999999999</v>
      </c>
      <c r="L19" s="6">
        <f>1436/1000</f>
        <v>1.4359999999999999</v>
      </c>
      <c r="M19" s="6">
        <f>95/1000</f>
        <v>9.5000000000000001E-2</v>
      </c>
      <c r="N19" s="6">
        <v>0.2</v>
      </c>
      <c r="O19" s="6">
        <v>0.22</v>
      </c>
      <c r="P19" s="6">
        <v>0.1</v>
      </c>
      <c r="Q19" s="31">
        <v>0.2</v>
      </c>
      <c r="R19" s="31">
        <v>0.2</v>
      </c>
      <c r="S19" s="31">
        <v>1.2</v>
      </c>
      <c r="T19" s="9"/>
      <c r="U19" s="9"/>
      <c r="V19" s="9"/>
      <c r="W19" s="9"/>
    </row>
    <row r="20" spans="1:23" s="3" customFormat="1">
      <c r="A20" s="10"/>
      <c r="B20" s="5" t="s">
        <v>25</v>
      </c>
      <c r="C20" s="2"/>
      <c r="D20" s="6">
        <f>935/1000</f>
        <v>0.93500000000000005</v>
      </c>
      <c r="E20" s="6">
        <f>561/1000</f>
        <v>0.56100000000000005</v>
      </c>
      <c r="F20" s="6">
        <f>417/1000</f>
        <v>0.41699999999999998</v>
      </c>
      <c r="G20" s="6">
        <f>358/1000</f>
        <v>0.35799999999999998</v>
      </c>
      <c r="H20" s="6">
        <f>635/1000</f>
        <v>0.63500000000000001</v>
      </c>
      <c r="I20" s="6">
        <f>937/1000</f>
        <v>0.93700000000000006</v>
      </c>
      <c r="J20" s="6">
        <f>869/1000</f>
        <v>0.86899999999999999</v>
      </c>
      <c r="K20" s="6">
        <f>380/1000</f>
        <v>0.38</v>
      </c>
      <c r="L20" s="6">
        <f>162/1000</f>
        <v>0.16200000000000001</v>
      </c>
      <c r="M20" s="6">
        <f>158/1000</f>
        <v>0.158</v>
      </c>
      <c r="N20" s="6">
        <v>1.2</v>
      </c>
      <c r="O20" s="6">
        <v>0.7</v>
      </c>
      <c r="P20" s="6">
        <v>0.1</v>
      </c>
      <c r="Q20" s="31">
        <v>0.7</v>
      </c>
      <c r="R20" s="31">
        <v>0.8</v>
      </c>
      <c r="S20" s="31">
        <v>0.5</v>
      </c>
      <c r="T20" s="9"/>
      <c r="U20" s="9"/>
      <c r="V20" s="9"/>
      <c r="W20" s="9"/>
    </row>
    <row r="21" spans="1:23" s="3" customFormat="1">
      <c r="A21" s="10"/>
      <c r="B21" s="5" t="s">
        <v>26</v>
      </c>
      <c r="C21" s="2"/>
      <c r="D21" s="4"/>
      <c r="E21" s="4"/>
      <c r="F21" s="4"/>
      <c r="G21" s="4"/>
      <c r="H21" s="4"/>
      <c r="I21" s="4"/>
      <c r="J21" s="4"/>
      <c r="K21" s="4"/>
      <c r="L21" s="6">
        <f>1135/1000</f>
        <v>1.135</v>
      </c>
      <c r="M21" s="6">
        <f>541/1000</f>
        <v>0.54100000000000004</v>
      </c>
      <c r="N21" s="6">
        <v>1.5</v>
      </c>
      <c r="O21" s="6">
        <v>0.4</v>
      </c>
      <c r="P21" s="6">
        <v>0.3</v>
      </c>
      <c r="Q21" s="31">
        <v>1</v>
      </c>
      <c r="R21" s="31">
        <v>1</v>
      </c>
      <c r="S21" s="31">
        <v>3.1</v>
      </c>
      <c r="T21" s="9"/>
      <c r="U21" s="9"/>
      <c r="V21" s="9"/>
      <c r="W21" s="9"/>
    </row>
    <row r="22" spans="1:23" s="3" customFormat="1">
      <c r="A22" s="10"/>
      <c r="B22" s="29" t="s">
        <v>34</v>
      </c>
      <c r="C22" s="2"/>
      <c r="D22" s="4"/>
      <c r="E22" s="4"/>
      <c r="F22" s="4"/>
      <c r="G22" s="4"/>
      <c r="H22" s="4"/>
      <c r="I22" s="4"/>
      <c r="J22" s="4"/>
      <c r="K22" s="4"/>
      <c r="L22" s="6"/>
      <c r="M22" s="6"/>
      <c r="N22" s="6"/>
      <c r="O22" s="6"/>
      <c r="P22" s="6"/>
      <c r="Q22" s="31">
        <v>0.3</v>
      </c>
      <c r="R22" s="31">
        <v>0.4</v>
      </c>
      <c r="S22" s="42">
        <v>0</v>
      </c>
      <c r="T22" s="9"/>
      <c r="U22" s="9"/>
      <c r="V22" s="9"/>
      <c r="W22" s="9"/>
    </row>
    <row r="23" spans="1:23" s="3" customFormat="1">
      <c r="A23" s="10"/>
      <c r="B23" s="5" t="s">
        <v>27</v>
      </c>
      <c r="C23" s="2"/>
      <c r="D23" s="6">
        <f>1839/1000</f>
        <v>1.839</v>
      </c>
      <c r="E23" s="6">
        <f>1293/1000</f>
        <v>1.2929999999999999</v>
      </c>
      <c r="F23" s="6">
        <f>2042/1000</f>
        <v>2.0419999999999998</v>
      </c>
      <c r="G23" s="6">
        <f>1878/1000</f>
        <v>1.8779999999999999</v>
      </c>
      <c r="H23" s="6">
        <f>2044/1000</f>
        <v>2.044</v>
      </c>
      <c r="I23" s="6">
        <f>1452/1000</f>
        <v>1.452</v>
      </c>
      <c r="J23" s="6">
        <f>1049/1000</f>
        <v>1.0489999999999999</v>
      </c>
      <c r="K23" s="6">
        <f>3278/1000</f>
        <v>3.278</v>
      </c>
      <c r="L23" s="6">
        <f>1676/1000</f>
        <v>1.6759999999999999</v>
      </c>
      <c r="M23" s="6">
        <f>480/1000</f>
        <v>0.48</v>
      </c>
      <c r="N23" s="6">
        <v>0.4</v>
      </c>
      <c r="O23" s="6">
        <v>2.2000000000000002</v>
      </c>
      <c r="P23" s="6">
        <v>0.67</v>
      </c>
      <c r="Q23" s="31">
        <v>0.2</v>
      </c>
      <c r="R23" s="31">
        <v>0.2</v>
      </c>
      <c r="S23" s="31">
        <v>0.3</v>
      </c>
      <c r="T23" s="9"/>
      <c r="U23" s="9"/>
      <c r="V23" s="9"/>
      <c r="W23" s="9"/>
    </row>
    <row r="24" spans="1:23" s="3" customFormat="1">
      <c r="A24" s="10"/>
      <c r="B24" s="8" t="s">
        <v>31</v>
      </c>
      <c r="C24" s="2"/>
      <c r="D24" s="6">
        <f>466/1000</f>
        <v>0.46600000000000003</v>
      </c>
      <c r="E24" s="6">
        <f>1059/1000</f>
        <v>1.0589999999999999</v>
      </c>
      <c r="F24" s="6">
        <f>1328/1000</f>
        <v>1.3280000000000001</v>
      </c>
      <c r="G24" s="6">
        <f>1165/1000</f>
        <v>1.165</v>
      </c>
      <c r="H24" s="6">
        <f>552/1000</f>
        <v>0.55200000000000005</v>
      </c>
      <c r="I24" s="6">
        <f>565/1000</f>
        <v>0.56499999999999995</v>
      </c>
      <c r="J24" s="6">
        <f>494/1000</f>
        <v>0.49399999999999999</v>
      </c>
      <c r="K24" s="6">
        <f>230/1000</f>
        <v>0.23</v>
      </c>
      <c r="L24" s="6">
        <f>91/1000</f>
        <v>9.0999999999999998E-2</v>
      </c>
      <c r="M24" s="6">
        <f>75/1000</f>
        <v>7.4999999999999997E-2</v>
      </c>
      <c r="N24" s="6">
        <v>0.9</v>
      </c>
      <c r="O24" s="6">
        <v>0.22</v>
      </c>
      <c r="P24" s="6">
        <v>0.97</v>
      </c>
      <c r="Q24" s="31">
        <v>0.6</v>
      </c>
      <c r="R24" s="31">
        <v>0.6</v>
      </c>
      <c r="S24" s="42">
        <v>1</v>
      </c>
      <c r="T24" s="9"/>
      <c r="U24" s="9"/>
      <c r="V24" s="9"/>
      <c r="W24" s="9"/>
    </row>
    <row r="25" spans="1:23" s="3" customFormat="1">
      <c r="A25" s="10"/>
      <c r="B25" s="5" t="s">
        <v>28</v>
      </c>
      <c r="C25" s="2"/>
      <c r="D25" s="6">
        <f>527/1000</f>
        <v>0.52700000000000002</v>
      </c>
      <c r="E25" s="6">
        <f>2106/1000</f>
        <v>2.1059999999999999</v>
      </c>
      <c r="F25" s="6">
        <f>1604/1000</f>
        <v>1.6040000000000001</v>
      </c>
      <c r="G25" s="6">
        <f>1534/1000</f>
        <v>1.534</v>
      </c>
      <c r="H25" s="6">
        <f>320/1000</f>
        <v>0.32</v>
      </c>
      <c r="I25" s="6">
        <f>469/1000</f>
        <v>0.46899999999999997</v>
      </c>
      <c r="J25" s="6">
        <f>3986/1000</f>
        <v>3.9860000000000002</v>
      </c>
      <c r="K25" s="6">
        <f>1075/1000</f>
        <v>1.075</v>
      </c>
      <c r="L25" s="6">
        <f>4100/1000</f>
        <v>4.0999999999999996</v>
      </c>
      <c r="M25" s="6">
        <f>1225/1000</f>
        <v>1.2250000000000001</v>
      </c>
      <c r="N25" s="6">
        <v>2.2999999999999998</v>
      </c>
      <c r="O25" s="6">
        <v>0.5</v>
      </c>
      <c r="P25" s="6">
        <v>0.12</v>
      </c>
      <c r="Q25" s="31">
        <v>1.5</v>
      </c>
      <c r="R25" s="31">
        <v>1.6</v>
      </c>
      <c r="S25" s="42">
        <v>4</v>
      </c>
      <c r="T25" s="9"/>
      <c r="U25" s="9"/>
      <c r="V25" s="9"/>
      <c r="W25" s="9"/>
    </row>
    <row r="26" spans="1:23" s="3" customFormat="1">
      <c r="A26" s="10"/>
      <c r="B26" s="5" t="s">
        <v>29</v>
      </c>
      <c r="C26" s="2"/>
      <c r="D26" s="23"/>
      <c r="E26" s="23"/>
      <c r="F26" s="23"/>
      <c r="G26" s="23"/>
      <c r="H26" s="23"/>
      <c r="I26" s="23"/>
      <c r="J26" s="4"/>
      <c r="K26" s="23"/>
      <c r="L26" s="6">
        <f>1320/1000</f>
        <v>1.32</v>
      </c>
      <c r="M26" s="6">
        <f>570/1000</f>
        <v>0.56999999999999995</v>
      </c>
      <c r="N26" s="6">
        <v>1.2</v>
      </c>
      <c r="O26" s="6">
        <v>0.6</v>
      </c>
      <c r="P26" s="6">
        <v>1.2</v>
      </c>
      <c r="Q26" s="31">
        <v>1.5</v>
      </c>
      <c r="R26" s="31">
        <v>1.5</v>
      </c>
      <c r="S26" s="31">
        <v>1.5</v>
      </c>
      <c r="T26" s="9"/>
      <c r="U26" s="9"/>
      <c r="V26" s="9"/>
      <c r="W26" s="9"/>
    </row>
    <row r="27" spans="1:23" s="3" customFormat="1">
      <c r="W27" s="7"/>
    </row>
    <row r="28" spans="1:23" s="3" customFormat="1">
      <c r="W28" s="7"/>
    </row>
    <row r="29" spans="1:23" s="3" customFormat="1">
      <c r="W29" s="7"/>
    </row>
    <row r="30" spans="1:23" s="3" customFormat="1">
      <c r="W30" s="7"/>
    </row>
    <row r="31" spans="1:23" s="3" customFormat="1">
      <c r="W31" s="7"/>
    </row>
    <row r="32" spans="1:23" s="3" customFormat="1">
      <c r="W32" s="7"/>
    </row>
    <row r="33" spans="23:23" s="3" customFormat="1">
      <c r="W33" s="7"/>
    </row>
    <row r="34" spans="23:23" s="3" customFormat="1">
      <c r="W34" s="7"/>
    </row>
    <row r="35" spans="23:23" s="3" customFormat="1">
      <c r="W35" s="7"/>
    </row>
    <row r="36" spans="23:23" s="3" customFormat="1">
      <c r="W36" s="7"/>
    </row>
    <row r="37" spans="23:23" s="3" customFormat="1">
      <c r="W37" s="7"/>
    </row>
    <row r="38" spans="23:23" s="3" customFormat="1">
      <c r="W38" s="7"/>
    </row>
    <row r="39" spans="23:23" s="3" customFormat="1">
      <c r="W39" s="7"/>
    </row>
    <row r="40" spans="23:23" s="3" customFormat="1">
      <c r="W40" s="7"/>
    </row>
    <row r="41" spans="23:23" s="3" customFormat="1">
      <c r="W41" s="7"/>
    </row>
    <row r="42" spans="23:23" s="3" customFormat="1">
      <c r="W42" s="7"/>
    </row>
    <row r="43" spans="23:23" s="3" customFormat="1">
      <c r="W43" s="7"/>
    </row>
    <row r="44" spans="23:23" s="3" customFormat="1">
      <c r="W44" s="7"/>
    </row>
    <row r="45" spans="23:23" s="3" customFormat="1">
      <c r="W45" s="7"/>
    </row>
    <row r="46" spans="23:23" s="3" customFormat="1">
      <c r="W46" s="7"/>
    </row>
    <row r="47" spans="23:23" s="3" customFormat="1">
      <c r="W47" s="7"/>
    </row>
    <row r="48" spans="23:23" s="3" customFormat="1">
      <c r="W48" s="7"/>
    </row>
    <row r="49" spans="23:23" s="3" customFormat="1">
      <c r="W49" s="7"/>
    </row>
    <row r="50" spans="23:23" s="3" customFormat="1">
      <c r="W50" s="7"/>
    </row>
    <row r="51" spans="23:23" s="3" customFormat="1">
      <c r="W51" s="7"/>
    </row>
    <row r="52" spans="23:23" s="3" customFormat="1">
      <c r="W52" s="7"/>
    </row>
    <row r="53" spans="23:23" s="3" customFormat="1">
      <c r="W53" s="7"/>
    </row>
    <row r="54" spans="23:23" s="3" customFormat="1">
      <c r="W54" s="7"/>
    </row>
    <row r="55" spans="23:23" s="3" customFormat="1">
      <c r="W55" s="7"/>
    </row>
    <row r="56" spans="23:23" s="3" customFormat="1">
      <c r="W56" s="7"/>
    </row>
    <row r="57" spans="23:23" s="3" customFormat="1">
      <c r="W57" s="7"/>
    </row>
    <row r="58" spans="23:23" s="3" customFormat="1">
      <c r="W58" s="7"/>
    </row>
    <row r="59" spans="23:23" s="3" customFormat="1">
      <c r="W59" s="7"/>
    </row>
    <row r="60" spans="23:23" s="3" customFormat="1">
      <c r="W60" s="7"/>
    </row>
    <row r="61" spans="23:23" s="3" customFormat="1">
      <c r="W61" s="7"/>
    </row>
    <row r="62" spans="23:23" s="3" customFormat="1"/>
    <row r="63" spans="23:23" s="3" customFormat="1"/>
    <row r="64" spans="23:23"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pans="23:23" s="3" customFormat="1"/>
    <row r="386" spans="23:23" s="3" customFormat="1"/>
    <row r="387" spans="23:23" s="3" customFormat="1"/>
    <row r="388" spans="23:23" s="3" customFormat="1"/>
    <row r="389" spans="23:23" s="3" customFormat="1"/>
    <row r="390" spans="23:23" s="3" customFormat="1"/>
    <row r="391" spans="23:23" s="3" customFormat="1"/>
    <row r="392" spans="23:23" s="3" customFormat="1">
      <c r="W392" s="3">
        <v>2</v>
      </c>
    </row>
    <row r="393" spans="23:23" s="3" customFormat="1"/>
    <row r="394" spans="23:23" s="3" customFormat="1"/>
    <row r="395" spans="23:23" s="3" customFormat="1"/>
    <row r="396" spans="23:23" s="3" customFormat="1"/>
    <row r="397" spans="23:23" s="3" customFormat="1"/>
    <row r="398" spans="23:23" s="3" customFormat="1"/>
    <row r="399" spans="23:23" s="3" customFormat="1"/>
    <row r="400" spans="23:23" s="3" customFormat="1"/>
    <row r="401" s="3" customFormat="1"/>
    <row r="402" s="3" customFormat="1"/>
    <row r="403" s="3" customFormat="1"/>
    <row r="404" s="3" customFormat="1"/>
    <row r="405" s="3" customFormat="1"/>
    <row r="406" s="3" customFormat="1"/>
    <row r="407" s="3" customFormat="1"/>
    <row r="408" s="3" customFormat="1"/>
    <row r="409" s="3" customFormat="1"/>
    <row r="410" s="3" customFormat="1"/>
    <row r="411" s="3" customFormat="1"/>
    <row r="412" s="3" customFormat="1"/>
    <row r="413" s="3" customFormat="1"/>
    <row r="414" s="3" customFormat="1"/>
    <row r="415" s="3" customFormat="1"/>
    <row r="416" s="3" customFormat="1"/>
    <row r="417" s="3" customFormat="1"/>
    <row r="418" s="3" customFormat="1"/>
    <row r="419" s="3" customFormat="1"/>
    <row r="420" s="3" customFormat="1"/>
    <row r="421" s="3" customFormat="1"/>
    <row r="422" s="3" customFormat="1"/>
    <row r="423" s="3" customFormat="1"/>
    <row r="424" s="3" customFormat="1"/>
    <row r="425" s="3" customFormat="1"/>
    <row r="426" s="3" customFormat="1"/>
    <row r="427" s="3" customFormat="1"/>
    <row r="428" s="3" customFormat="1"/>
    <row r="429" s="3" customFormat="1"/>
    <row r="430" s="3" customFormat="1"/>
    <row r="431" s="3" customFormat="1"/>
    <row r="432" s="3" customFormat="1"/>
    <row r="433" s="3" customFormat="1"/>
    <row r="434" s="3" customFormat="1"/>
    <row r="435" s="3" customFormat="1"/>
    <row r="436" s="3" customFormat="1"/>
    <row r="437" s="3" customFormat="1"/>
    <row r="438" s="3" customFormat="1"/>
    <row r="439" s="3" customFormat="1"/>
    <row r="440" s="3" customFormat="1"/>
    <row r="441" s="3" customFormat="1"/>
    <row r="442" s="3" customFormat="1"/>
    <row r="443" s="3" customFormat="1"/>
    <row r="444" s="3" customFormat="1"/>
    <row r="445" s="3" customFormat="1"/>
    <row r="446" s="3" customFormat="1"/>
    <row r="447" s="3" customFormat="1"/>
    <row r="448" s="3" customFormat="1"/>
    <row r="449" s="3" customFormat="1"/>
    <row r="450" s="3" customFormat="1"/>
    <row r="451" s="3" customFormat="1"/>
    <row r="452" s="3" customFormat="1"/>
    <row r="453" s="3" customFormat="1"/>
    <row r="454" s="3" customFormat="1"/>
    <row r="455" s="3" customFormat="1"/>
    <row r="456" s="3" customFormat="1"/>
    <row r="457" s="3" customFormat="1"/>
    <row r="458" s="3" customFormat="1"/>
    <row r="459" s="3" customFormat="1"/>
    <row r="460" s="3" customFormat="1"/>
    <row r="461" s="3" customFormat="1"/>
    <row r="462" s="3" customFormat="1"/>
    <row r="463" s="3" customFormat="1"/>
    <row r="464" s="3" customFormat="1"/>
    <row r="465" s="3" customFormat="1"/>
    <row r="466" s="3" customFormat="1"/>
    <row r="467" s="3" customFormat="1"/>
    <row r="468" s="3" customFormat="1"/>
    <row r="469" s="3" customFormat="1"/>
    <row r="470" s="3" customFormat="1"/>
    <row r="471" s="3" customFormat="1"/>
    <row r="472" s="3" customFormat="1"/>
    <row r="473" s="3" customFormat="1"/>
    <row r="474" s="3" customFormat="1"/>
    <row r="475" s="3" customFormat="1"/>
    <row r="476" s="3" customFormat="1"/>
    <row r="477" s="3" customFormat="1"/>
    <row r="478" s="3" customFormat="1"/>
    <row r="479" s="3" customFormat="1"/>
    <row r="480" s="3" customFormat="1"/>
    <row r="481" s="3" customFormat="1"/>
    <row r="482" s="3" customFormat="1"/>
    <row r="483" s="3" customFormat="1"/>
    <row r="484" s="3" customFormat="1"/>
    <row r="485" s="3" customFormat="1"/>
    <row r="486" s="3" customFormat="1"/>
    <row r="487" s="3" customFormat="1"/>
    <row r="488" s="3" customFormat="1"/>
    <row r="489" s="3" customFormat="1"/>
    <row r="490" s="3" customFormat="1"/>
    <row r="491" s="3" customFormat="1"/>
    <row r="492" s="3" customFormat="1"/>
    <row r="493" s="3" customFormat="1"/>
    <row r="494" s="3" customFormat="1"/>
    <row r="495" s="3" customFormat="1"/>
    <row r="496" s="3" customFormat="1"/>
    <row r="497" s="3" customFormat="1"/>
    <row r="498" s="3" customFormat="1"/>
    <row r="499" s="3" customFormat="1"/>
    <row r="500" s="3" customFormat="1"/>
    <row r="501" s="3" customFormat="1"/>
    <row r="502" s="3" customFormat="1"/>
    <row r="503" s="3" customFormat="1"/>
    <row r="504" s="3" customFormat="1"/>
    <row r="505" s="3" customFormat="1"/>
    <row r="506" s="3" customFormat="1"/>
    <row r="507" s="3" customFormat="1"/>
    <row r="508" s="3" customFormat="1"/>
    <row r="509" s="3" customFormat="1"/>
    <row r="510" s="3" customFormat="1"/>
    <row r="511" s="3" customFormat="1"/>
    <row r="512" s="3" customFormat="1"/>
    <row r="513" s="3" customFormat="1"/>
    <row r="514" s="3" customFormat="1"/>
    <row r="515" s="3" customFormat="1"/>
    <row r="516" s="3" customFormat="1"/>
    <row r="517" s="3" customFormat="1"/>
    <row r="518" s="3" customFormat="1"/>
    <row r="519" s="3" customFormat="1"/>
    <row r="520" s="3" customFormat="1"/>
    <row r="521" s="3" customFormat="1"/>
    <row r="522" s="3" customFormat="1"/>
    <row r="523" s="3" customFormat="1"/>
    <row r="524" s="3" customFormat="1"/>
    <row r="525" s="3" customFormat="1"/>
    <row r="526" s="3" customFormat="1"/>
    <row r="527" s="3" customFormat="1"/>
    <row r="528" s="3" customFormat="1"/>
    <row r="529" s="3" customFormat="1"/>
    <row r="530" s="3" customFormat="1"/>
    <row r="531" s="3" customFormat="1"/>
    <row r="532" s="3" customFormat="1"/>
    <row r="533" s="3" customFormat="1"/>
    <row r="534" s="3" customFormat="1"/>
    <row r="535" s="3" customFormat="1"/>
    <row r="536" s="3" customFormat="1"/>
    <row r="537" s="3" customFormat="1"/>
    <row r="538" s="3" customFormat="1"/>
    <row r="539" s="3" customFormat="1"/>
    <row r="540" s="3" customFormat="1"/>
    <row r="541" s="3" customFormat="1"/>
    <row r="542" s="3" customFormat="1"/>
    <row r="543" s="3" customFormat="1"/>
    <row r="544" s="3" customFormat="1"/>
    <row r="545" s="3" customFormat="1"/>
    <row r="546" s="3" customFormat="1"/>
    <row r="547" s="3" customFormat="1"/>
    <row r="548" s="3" customFormat="1"/>
    <row r="549" s="3" customFormat="1"/>
    <row r="550" s="3" customFormat="1"/>
    <row r="551" s="3" customFormat="1"/>
    <row r="552" s="3" customFormat="1"/>
    <row r="553" s="3" customFormat="1"/>
    <row r="554" s="3" customFormat="1"/>
    <row r="555" s="3" customFormat="1"/>
    <row r="556" s="3" customFormat="1"/>
    <row r="557" s="3" customFormat="1"/>
    <row r="558" s="3" customFormat="1"/>
    <row r="559" s="3" customFormat="1"/>
    <row r="560" s="3" customFormat="1"/>
    <row r="561" s="3" customFormat="1"/>
    <row r="562" s="3" customFormat="1"/>
    <row r="563" s="3" customFormat="1"/>
    <row r="564" s="3" customFormat="1"/>
    <row r="565" s="3" customFormat="1"/>
    <row r="566" s="3" customFormat="1"/>
    <row r="567" s="3" customFormat="1"/>
    <row r="568" s="3" customFormat="1"/>
    <row r="569" s="3" customFormat="1"/>
    <row r="570" s="3" customFormat="1"/>
    <row r="571" s="3" customFormat="1"/>
    <row r="572" s="3" customFormat="1"/>
    <row r="573" s="3" customFormat="1"/>
    <row r="574" s="3" customFormat="1"/>
    <row r="575" s="3" customFormat="1"/>
    <row r="576" s="3" customFormat="1"/>
    <row r="577" s="3" customFormat="1"/>
    <row r="578" s="3" customFormat="1"/>
    <row r="579" s="3" customFormat="1"/>
    <row r="580" s="3" customFormat="1"/>
    <row r="581" s="3" customFormat="1"/>
    <row r="582" s="3" customFormat="1"/>
    <row r="583" s="3" customFormat="1"/>
    <row r="584" s="3" customFormat="1"/>
    <row r="585" s="3" customFormat="1"/>
    <row r="586" s="3" customFormat="1"/>
    <row r="587" s="3" customFormat="1"/>
    <row r="588" s="3" customFormat="1"/>
    <row r="589" s="3" customFormat="1"/>
    <row r="590" s="3" customFormat="1"/>
    <row r="591" s="3" customFormat="1"/>
    <row r="592" s="3" customFormat="1"/>
    <row r="593" s="3" customFormat="1"/>
    <row r="594" s="3" customFormat="1"/>
    <row r="595" s="3" customFormat="1"/>
    <row r="596" s="3" customFormat="1"/>
    <row r="597" s="3" customFormat="1"/>
    <row r="598" s="3" customFormat="1"/>
    <row r="599" s="3" customFormat="1"/>
    <row r="600" s="3" customFormat="1"/>
    <row r="601" s="3" customFormat="1"/>
    <row r="602" s="3" customFormat="1"/>
    <row r="603" s="3" customFormat="1"/>
    <row r="604" s="3" customFormat="1"/>
    <row r="605" s="3" customFormat="1"/>
    <row r="606" s="3" customFormat="1"/>
    <row r="607" s="3" customFormat="1"/>
    <row r="608" s="3" customFormat="1"/>
    <row r="609" s="3" customFormat="1"/>
    <row r="610" s="3" customFormat="1"/>
    <row r="611" s="3" customFormat="1"/>
    <row r="612" s="3" customFormat="1"/>
    <row r="613" s="3" customFormat="1"/>
    <row r="614" s="3" customFormat="1"/>
    <row r="615" s="3" customFormat="1"/>
    <row r="616" s="3" customFormat="1"/>
    <row r="617" s="3" customFormat="1"/>
    <row r="618" s="3" customFormat="1"/>
    <row r="619" s="3" customFormat="1"/>
    <row r="620" s="3" customFormat="1"/>
    <row r="621" s="3" customFormat="1"/>
    <row r="622" s="3" customFormat="1"/>
    <row r="623" s="3" customFormat="1"/>
    <row r="624" s="3" customFormat="1"/>
    <row r="625" s="3" customFormat="1"/>
    <row r="626" s="3" customFormat="1"/>
    <row r="627" s="3" customFormat="1"/>
    <row r="628" s="3" customFormat="1"/>
    <row r="629" s="3" customFormat="1"/>
    <row r="630" s="3" customFormat="1"/>
    <row r="631" s="3" customFormat="1"/>
    <row r="632" s="3" customFormat="1"/>
    <row r="633" s="3" customFormat="1"/>
    <row r="634" s="3" customFormat="1"/>
    <row r="635" s="3" customFormat="1"/>
    <row r="636" s="3" customFormat="1"/>
    <row r="637" s="3" customFormat="1"/>
    <row r="638" s="3" customFormat="1"/>
    <row r="639" s="3" customFormat="1"/>
    <row r="640" s="3" customFormat="1"/>
    <row r="641" s="3" customFormat="1"/>
    <row r="642" s="3" customFormat="1"/>
    <row r="643" s="3" customFormat="1"/>
    <row r="644" s="3" customFormat="1"/>
    <row r="645" s="3" customFormat="1"/>
    <row r="646" s="3" customFormat="1"/>
    <row r="647" s="3" customFormat="1"/>
    <row r="648" s="3" customFormat="1"/>
    <row r="649" s="3" customFormat="1"/>
    <row r="650" s="3" customFormat="1"/>
    <row r="651" s="3" customFormat="1"/>
    <row r="652" s="3" customFormat="1"/>
    <row r="653" s="3" customFormat="1"/>
    <row r="654" s="3" customFormat="1"/>
    <row r="655" s="3" customFormat="1"/>
    <row r="656" s="3" customFormat="1"/>
    <row r="657" s="3" customFormat="1"/>
    <row r="658" s="3" customFormat="1"/>
    <row r="659" s="3" customFormat="1"/>
    <row r="660" s="3" customFormat="1"/>
    <row r="661" s="3" customFormat="1"/>
    <row r="662" s="3" customFormat="1"/>
    <row r="663" s="3" customFormat="1"/>
    <row r="664" s="3" customFormat="1"/>
    <row r="665" s="3" customFormat="1"/>
    <row r="666" s="3" customFormat="1"/>
    <row r="667" s="3" customFormat="1"/>
    <row r="668" s="3" customFormat="1"/>
    <row r="669" s="3" customFormat="1"/>
    <row r="670" s="3" customFormat="1"/>
    <row r="671" s="3" customFormat="1"/>
    <row r="672" s="3" customFormat="1"/>
    <row r="673" s="3" customFormat="1"/>
    <row r="674" s="3" customFormat="1"/>
    <row r="675" s="3" customFormat="1"/>
    <row r="676" s="3" customFormat="1"/>
    <row r="677" s="3" customFormat="1"/>
    <row r="678" s="3" customFormat="1"/>
    <row r="679" s="3" customFormat="1"/>
    <row r="680" s="3" customFormat="1"/>
    <row r="681" s="3" customFormat="1"/>
    <row r="682" s="3" customFormat="1"/>
    <row r="683" s="3" customFormat="1"/>
    <row r="684" s="3" customFormat="1"/>
    <row r="685" s="3" customFormat="1"/>
    <row r="686" s="3" customFormat="1"/>
    <row r="687" s="3" customFormat="1"/>
    <row r="688" s="3" customFormat="1"/>
    <row r="689" s="3" customFormat="1"/>
    <row r="690" s="3" customFormat="1"/>
    <row r="691" s="3" customFormat="1"/>
    <row r="692" s="3" customFormat="1"/>
    <row r="693" s="3" customFormat="1"/>
    <row r="694" s="3" customFormat="1"/>
    <row r="695" s="3" customFormat="1"/>
    <row r="696" s="3" customFormat="1"/>
    <row r="697" s="3" customFormat="1"/>
    <row r="698" s="3" customFormat="1"/>
    <row r="699" s="3" customFormat="1"/>
    <row r="700" s="3" customFormat="1"/>
    <row r="701" s="3" customFormat="1"/>
    <row r="702" s="3" customFormat="1"/>
    <row r="703" s="3" customFormat="1"/>
    <row r="704" s="3" customFormat="1"/>
    <row r="705" s="3" customFormat="1"/>
    <row r="706" s="3" customFormat="1"/>
    <row r="707" s="3" customFormat="1"/>
    <row r="708" s="3" customFormat="1"/>
    <row r="709" s="3" customFormat="1"/>
    <row r="710" s="3" customFormat="1"/>
    <row r="711" s="3" customFormat="1"/>
    <row r="712" s="3" customFormat="1"/>
    <row r="713" s="3" customFormat="1"/>
    <row r="714" s="3" customFormat="1"/>
    <row r="715" s="3" customFormat="1"/>
    <row r="716" s="3" customFormat="1"/>
    <row r="717" s="3" customFormat="1"/>
    <row r="718" s="3" customFormat="1"/>
    <row r="719" s="3" customFormat="1"/>
    <row r="720" s="3" customFormat="1"/>
    <row r="721" s="3" customFormat="1"/>
    <row r="722" s="3" customFormat="1"/>
    <row r="723" s="3" customFormat="1"/>
    <row r="724" s="3" customFormat="1"/>
    <row r="725" s="3" customFormat="1"/>
    <row r="726" s="3" customFormat="1"/>
    <row r="727" s="3" customFormat="1"/>
    <row r="728" s="3" customFormat="1"/>
    <row r="729" s="3" customFormat="1"/>
    <row r="730" s="3" customFormat="1"/>
    <row r="731" s="3" customFormat="1"/>
    <row r="732" s="3" customFormat="1"/>
    <row r="733" s="3" customFormat="1"/>
    <row r="734" s="3" customFormat="1"/>
    <row r="735" s="3" customFormat="1"/>
    <row r="736" s="3" customFormat="1"/>
    <row r="737" s="3" customFormat="1"/>
    <row r="738" s="3" customFormat="1"/>
    <row r="739" s="3" customFormat="1"/>
    <row r="740" s="3" customFormat="1"/>
    <row r="741" s="3" customFormat="1"/>
    <row r="742" s="3" customFormat="1"/>
    <row r="743" s="3" customFormat="1"/>
    <row r="744" s="3" customFormat="1"/>
    <row r="745" s="3" customFormat="1"/>
    <row r="746" s="3" customFormat="1"/>
    <row r="747" s="3" customFormat="1"/>
    <row r="748" s="3" customFormat="1"/>
    <row r="749" s="3" customFormat="1"/>
    <row r="750" s="3" customFormat="1"/>
    <row r="751" s="3" customFormat="1"/>
    <row r="752" s="3" customFormat="1"/>
    <row r="753" s="3" customFormat="1"/>
    <row r="754" s="3" customFormat="1"/>
    <row r="755" s="3" customFormat="1"/>
    <row r="756" s="3" customFormat="1"/>
    <row r="757" s="3" customFormat="1"/>
    <row r="758" s="3" customFormat="1"/>
    <row r="759" s="3" customFormat="1"/>
    <row r="760" s="3" customFormat="1"/>
    <row r="761" s="3" customFormat="1"/>
    <row r="762" s="3" customFormat="1"/>
    <row r="763" s="3" customFormat="1"/>
    <row r="764" s="3" customFormat="1"/>
    <row r="765" s="3" customFormat="1"/>
    <row r="766" s="3" customFormat="1"/>
    <row r="767" s="3" customFormat="1"/>
    <row r="768" s="3" customFormat="1"/>
    <row r="769" s="3" customFormat="1"/>
    <row r="770" s="3" customFormat="1"/>
    <row r="771" s="3" customFormat="1"/>
    <row r="772" s="3" customFormat="1"/>
    <row r="773" s="3" customFormat="1"/>
    <row r="774" s="3" customFormat="1"/>
    <row r="775" s="3" customFormat="1"/>
    <row r="776" s="3" customFormat="1"/>
    <row r="777" s="3" customFormat="1"/>
    <row r="778" s="3" customFormat="1"/>
    <row r="779" s="3" customFormat="1"/>
    <row r="780" s="3" customFormat="1"/>
    <row r="781" s="3" customFormat="1"/>
    <row r="782" s="3" customFormat="1"/>
    <row r="783" s="3" customFormat="1"/>
    <row r="784" s="3" customFormat="1"/>
    <row r="785" s="3" customFormat="1"/>
    <row r="786" s="3" customFormat="1"/>
    <row r="787" s="3" customFormat="1"/>
    <row r="788" s="3" customFormat="1"/>
    <row r="789" s="3" customFormat="1"/>
    <row r="790" s="3" customFormat="1"/>
    <row r="791" s="3" customFormat="1"/>
    <row r="792" s="3" customFormat="1"/>
    <row r="793" s="3" customFormat="1"/>
    <row r="794" s="3" customFormat="1"/>
    <row r="795" s="3" customFormat="1"/>
    <row r="796" s="3" customFormat="1"/>
    <row r="797" s="3" customFormat="1"/>
    <row r="798" s="3" customFormat="1"/>
    <row r="799" s="3" customFormat="1"/>
    <row r="800" s="3" customFormat="1"/>
    <row r="801" s="3" customFormat="1"/>
    <row r="802" s="3" customFormat="1"/>
    <row r="803" s="3" customFormat="1"/>
    <row r="804" s="3" customFormat="1"/>
    <row r="805" s="3" customFormat="1"/>
    <row r="806" s="3" customFormat="1"/>
    <row r="807" s="3" customFormat="1"/>
    <row r="808" s="3" customFormat="1"/>
    <row r="809" s="3" customFormat="1"/>
    <row r="810" s="3" customFormat="1"/>
    <row r="811" s="3" customFormat="1"/>
    <row r="812" s="3" customFormat="1"/>
    <row r="813" s="3" customFormat="1"/>
    <row r="814" s="3" customFormat="1"/>
    <row r="815" s="3" customFormat="1"/>
    <row r="816" s="3" customFormat="1"/>
    <row r="817" s="3" customFormat="1"/>
    <row r="818" s="3" customFormat="1"/>
    <row r="819" s="3" customFormat="1"/>
    <row r="820" s="3" customFormat="1"/>
    <row r="821" s="3" customFormat="1"/>
    <row r="822" s="3" customFormat="1"/>
    <row r="823" s="3" customFormat="1"/>
    <row r="824" s="3" customFormat="1"/>
    <row r="825" s="3" customFormat="1"/>
    <row r="826" s="3" customFormat="1"/>
    <row r="827" s="3" customFormat="1"/>
    <row r="828" s="3" customFormat="1"/>
    <row r="829" s="3" customFormat="1"/>
    <row r="830" s="3" customFormat="1"/>
    <row r="831" s="3" customFormat="1"/>
    <row r="832" s="3" customFormat="1"/>
    <row r="833" s="3" customFormat="1"/>
    <row r="834" s="3" customFormat="1"/>
    <row r="835" s="3" customFormat="1"/>
    <row r="836" s="3" customFormat="1"/>
    <row r="837" s="3" customFormat="1"/>
    <row r="838" s="3" customFormat="1"/>
    <row r="839" s="3" customFormat="1"/>
    <row r="840" s="3" customFormat="1"/>
    <row r="841" s="3" customFormat="1"/>
    <row r="842" s="3" customFormat="1"/>
    <row r="843" s="3" customFormat="1"/>
    <row r="844" s="3" customFormat="1"/>
    <row r="845" s="3" customFormat="1"/>
    <row r="846" s="3" customFormat="1"/>
    <row r="847" s="3" customFormat="1"/>
    <row r="848" s="3" customFormat="1"/>
    <row r="849" s="3" customFormat="1"/>
    <row r="850" s="3" customFormat="1"/>
    <row r="851" s="3" customFormat="1"/>
    <row r="852" s="3" customFormat="1"/>
    <row r="853" s="3" customFormat="1"/>
    <row r="854" s="3" customFormat="1"/>
    <row r="855" s="3" customFormat="1"/>
    <row r="856" s="3" customFormat="1"/>
    <row r="857" s="3" customFormat="1"/>
    <row r="858" s="3" customFormat="1"/>
    <row r="859" s="3" customFormat="1"/>
    <row r="860" s="3" customFormat="1"/>
    <row r="861" s="3" customFormat="1"/>
    <row r="862" s="3" customFormat="1"/>
    <row r="863" s="3" customFormat="1"/>
    <row r="864" s="3" customFormat="1"/>
    <row r="865" s="3" customFormat="1"/>
    <row r="866" s="3" customFormat="1"/>
    <row r="867" s="3" customFormat="1"/>
    <row r="868" s="3" customFormat="1"/>
    <row r="869" s="3" customFormat="1"/>
    <row r="870" s="3" customFormat="1"/>
    <row r="871" s="3" customFormat="1"/>
    <row r="872" s="3" customFormat="1"/>
    <row r="873" s="3" customFormat="1"/>
    <row r="874" s="3" customFormat="1"/>
    <row r="875" s="3" customFormat="1"/>
    <row r="876" s="3" customFormat="1"/>
    <row r="877" s="3" customFormat="1"/>
    <row r="878" s="3" customFormat="1"/>
    <row r="879" s="3" customFormat="1"/>
    <row r="880" s="3" customFormat="1"/>
    <row r="881" s="3" customFormat="1"/>
    <row r="882" s="3" customFormat="1"/>
    <row r="883" s="3" customFormat="1"/>
    <row r="884" s="3" customFormat="1"/>
    <row r="885" s="3" customFormat="1"/>
    <row r="886" s="3" customFormat="1"/>
    <row r="887" s="3" customFormat="1"/>
    <row r="888" s="3" customFormat="1"/>
    <row r="889" s="3" customFormat="1"/>
    <row r="890" s="3" customFormat="1"/>
    <row r="891" s="3" customFormat="1"/>
    <row r="892" s="3" customFormat="1"/>
    <row r="893" s="3" customFormat="1"/>
    <row r="894" s="3" customFormat="1"/>
    <row r="895" s="3" customFormat="1"/>
    <row r="896" s="3" customFormat="1"/>
    <row r="897" s="3" customFormat="1"/>
    <row r="898" s="3" customFormat="1"/>
    <row r="899" s="3" customFormat="1"/>
    <row r="900" s="3" customFormat="1"/>
    <row r="901" s="3" customFormat="1"/>
    <row r="902" s="3" customFormat="1"/>
    <row r="903" s="3" customFormat="1"/>
    <row r="904" s="3" customFormat="1"/>
    <row r="905" s="3" customFormat="1"/>
    <row r="906" s="3" customFormat="1"/>
    <row r="907" s="3" customFormat="1"/>
    <row r="908" s="3" customFormat="1"/>
    <row r="909" s="3" customFormat="1"/>
    <row r="910" s="3" customFormat="1"/>
    <row r="911" s="3" customFormat="1"/>
    <row r="912" s="3" customFormat="1"/>
    <row r="913" s="3" customFormat="1"/>
    <row r="914" s="3" customFormat="1"/>
    <row r="915" s="3" customFormat="1"/>
    <row r="916" s="3" customFormat="1"/>
    <row r="917" s="3" customFormat="1"/>
    <row r="918" s="3" customFormat="1"/>
    <row r="919" s="3" customFormat="1"/>
    <row r="920" s="3" customFormat="1"/>
    <row r="921" s="3" customFormat="1"/>
    <row r="922" s="3" customFormat="1"/>
    <row r="923" s="3" customFormat="1"/>
    <row r="924" s="3" customFormat="1"/>
    <row r="925" s="3" customFormat="1"/>
    <row r="926" s="3" customFormat="1"/>
    <row r="927" s="3" customFormat="1"/>
    <row r="928" s="3" customFormat="1"/>
    <row r="929" s="3" customFormat="1"/>
    <row r="930" s="3" customFormat="1"/>
    <row r="931" s="3" customFormat="1"/>
    <row r="932" s="3" customFormat="1"/>
    <row r="933" s="3" customFormat="1"/>
    <row r="934" s="3" customFormat="1"/>
    <row r="935" s="3" customFormat="1"/>
    <row r="936" s="3" customFormat="1"/>
    <row r="937" s="3" customFormat="1"/>
    <row r="938" s="3" customFormat="1"/>
    <row r="939" s="3" customFormat="1"/>
    <row r="940" s="3" customFormat="1"/>
    <row r="941" s="3" customFormat="1"/>
    <row r="942" s="3" customFormat="1"/>
    <row r="943" s="3" customFormat="1"/>
    <row r="944" s="3" customFormat="1"/>
    <row r="945" s="3" customFormat="1"/>
    <row r="946" s="3" customFormat="1"/>
    <row r="947" s="3" customFormat="1"/>
    <row r="948" s="3" customFormat="1"/>
    <row r="949" s="3" customFormat="1"/>
    <row r="950" s="3" customFormat="1"/>
    <row r="951" s="3" customFormat="1"/>
    <row r="952" s="3" customFormat="1"/>
    <row r="953" s="3" customFormat="1"/>
    <row r="954" s="3" customFormat="1"/>
    <row r="955" s="3" customFormat="1"/>
    <row r="956" s="3" customFormat="1"/>
    <row r="957" s="3" customFormat="1"/>
    <row r="958" s="3" customFormat="1"/>
    <row r="959" s="3" customFormat="1"/>
    <row r="960" s="3" customFormat="1"/>
    <row r="961" s="3" customFormat="1"/>
    <row r="962" s="3" customFormat="1"/>
    <row r="963" s="3" customFormat="1"/>
    <row r="964" s="3" customFormat="1"/>
    <row r="965" s="3" customFormat="1"/>
    <row r="966" s="3" customFormat="1"/>
    <row r="967" s="3" customFormat="1"/>
    <row r="968" s="3" customFormat="1"/>
    <row r="969" s="3" customFormat="1"/>
    <row r="970" s="3" customFormat="1"/>
    <row r="971" s="3" customFormat="1"/>
    <row r="972" s="3" customFormat="1"/>
    <row r="973" s="3" customFormat="1"/>
    <row r="974" s="3" customFormat="1"/>
    <row r="975" s="3" customFormat="1"/>
    <row r="976" s="3" customFormat="1"/>
    <row r="977" s="3" customFormat="1"/>
    <row r="978" s="3" customFormat="1"/>
    <row r="979" s="3" customFormat="1"/>
    <row r="980" s="3" customFormat="1"/>
    <row r="981" s="3" customFormat="1"/>
    <row r="982" s="3" customFormat="1"/>
    <row r="983" s="3" customFormat="1"/>
    <row r="984" s="3" customFormat="1"/>
    <row r="985" s="3" customFormat="1"/>
    <row r="986" s="3" customFormat="1"/>
    <row r="987" s="3" customFormat="1"/>
    <row r="988" s="3" customFormat="1"/>
    <row r="989" s="3" customFormat="1"/>
    <row r="990" s="3" customFormat="1"/>
    <row r="991" s="3" customFormat="1"/>
    <row r="992" s="3" customFormat="1"/>
    <row r="993" s="3" customFormat="1"/>
    <row r="994" s="3" customFormat="1"/>
    <row r="995" s="3" customFormat="1"/>
    <row r="996" s="3" customFormat="1"/>
    <row r="997" s="3" customFormat="1"/>
    <row r="998" s="3" customFormat="1"/>
    <row r="999" s="3" customFormat="1"/>
    <row r="1000" s="3" customFormat="1"/>
    <row r="1001" s="3" customFormat="1"/>
    <row r="1002" s="3" customFormat="1"/>
    <row r="1003" s="3" customFormat="1"/>
    <row r="1004" s="3" customFormat="1"/>
    <row r="1005" s="3" customFormat="1"/>
    <row r="1006" s="3" customFormat="1"/>
    <row r="1007" s="3" customFormat="1"/>
    <row r="1008" s="3" customFormat="1"/>
    <row r="1009" s="3" customFormat="1"/>
    <row r="1010" s="3" customFormat="1"/>
    <row r="1011" s="3" customFormat="1"/>
    <row r="1012" s="3" customFormat="1"/>
    <row r="1013" s="3" customFormat="1"/>
    <row r="1014" s="3" customFormat="1"/>
    <row r="1015" s="3" customFormat="1"/>
    <row r="1016" s="3" customFormat="1"/>
    <row r="1017" s="3" customFormat="1"/>
    <row r="1018" s="3" customFormat="1"/>
    <row r="1019" s="3" customFormat="1"/>
    <row r="1020" s="3" customFormat="1"/>
    <row r="1021" s="3" customFormat="1"/>
    <row r="1022" s="3" customFormat="1"/>
    <row r="1023" s="3" customFormat="1"/>
    <row r="1024" s="3" customFormat="1"/>
    <row r="1025" s="3" customFormat="1"/>
    <row r="1026" s="3" customFormat="1"/>
    <row r="1027" s="3" customFormat="1"/>
    <row r="1028" s="3" customFormat="1"/>
    <row r="1029" s="3" customFormat="1"/>
    <row r="1030" s="3" customFormat="1"/>
    <row r="1031" s="3" customFormat="1"/>
    <row r="1032" s="3" customFormat="1"/>
    <row r="1033" s="3" customFormat="1"/>
    <row r="1034" s="3" customFormat="1"/>
    <row r="1035" s="3" customFormat="1"/>
    <row r="1036" s="3" customFormat="1"/>
    <row r="1037" s="3" customFormat="1"/>
    <row r="1038" s="3" customFormat="1"/>
    <row r="1039" s="3" customFormat="1"/>
    <row r="1040" s="3" customFormat="1"/>
    <row r="1041" s="3" customFormat="1"/>
    <row r="1042" s="3" customFormat="1"/>
    <row r="1043" s="3" customFormat="1"/>
    <row r="1044" s="3" customFormat="1"/>
    <row r="1045" s="3" customFormat="1"/>
    <row r="1046" s="3" customFormat="1"/>
    <row r="1047" s="3" customFormat="1"/>
    <row r="1048" s="3" customFormat="1"/>
    <row r="1049" s="3" customFormat="1"/>
    <row r="1050" s="3" customFormat="1"/>
    <row r="1051" s="3" customFormat="1"/>
    <row r="1052" s="3" customFormat="1"/>
    <row r="1053" s="3" customFormat="1"/>
    <row r="1054" s="3" customFormat="1"/>
    <row r="1055" s="3" customFormat="1"/>
    <row r="1056" s="3" customFormat="1"/>
    <row r="1057" s="3" customFormat="1"/>
    <row r="1058" s="3" customFormat="1"/>
    <row r="1059" s="3" customFormat="1"/>
    <row r="1060" s="3" customFormat="1"/>
    <row r="1061" s="3" customFormat="1"/>
    <row r="1062" s="3" customFormat="1"/>
    <row r="1063" s="3" customFormat="1"/>
    <row r="1064" s="3" customFormat="1"/>
    <row r="1065" s="3" customFormat="1"/>
    <row r="1066" s="3" customFormat="1"/>
    <row r="1067" s="3" customFormat="1"/>
    <row r="1068" s="3" customFormat="1"/>
    <row r="1069" s="3" customFormat="1"/>
    <row r="1070" s="3" customFormat="1"/>
    <row r="1071" s="3" customFormat="1"/>
    <row r="1072" s="3" customFormat="1"/>
    <row r="1073" s="3" customFormat="1"/>
    <row r="1074" s="3" customFormat="1"/>
    <row r="1075" s="3" customFormat="1"/>
    <row r="1076" s="3" customFormat="1"/>
    <row r="1077" s="3" customFormat="1"/>
    <row r="1078" s="3" customFormat="1"/>
    <row r="1079" s="3" customFormat="1"/>
    <row r="1080" s="3" customFormat="1"/>
    <row r="1081" s="3" customFormat="1"/>
    <row r="1082" s="3" customFormat="1"/>
    <row r="1083" s="3" customFormat="1"/>
    <row r="1084" s="3" customFormat="1"/>
    <row r="1085" s="3" customFormat="1"/>
    <row r="1086" s="3" customFormat="1"/>
    <row r="1087" s="3" customFormat="1"/>
    <row r="1088" s="3" customFormat="1"/>
    <row r="1089" s="3" customFormat="1"/>
    <row r="1090" s="3" customFormat="1"/>
    <row r="1091" s="3" customFormat="1"/>
    <row r="1092" s="3" customFormat="1"/>
    <row r="1093" s="3" customFormat="1"/>
    <row r="1094" s="3" customFormat="1"/>
    <row r="1095" s="3" customFormat="1"/>
    <row r="1096" s="3" customFormat="1"/>
    <row r="1097" s="3" customFormat="1"/>
    <row r="1098" s="3" customFormat="1"/>
    <row r="1099" s="3" customFormat="1"/>
    <row r="1100" s="3" customFormat="1"/>
    <row r="1101" s="3" customFormat="1"/>
    <row r="1102" s="3" customFormat="1"/>
    <row r="1103" s="3" customFormat="1"/>
    <row r="1104" s="3" customFormat="1"/>
    <row r="1105" s="3" customFormat="1"/>
    <row r="1106" s="3" customFormat="1"/>
    <row r="1107" s="3" customFormat="1"/>
    <row r="1108" s="3" customFormat="1"/>
    <row r="1109" s="3" customFormat="1"/>
    <row r="1110" s="3" customFormat="1"/>
    <row r="1111" s="3" customFormat="1"/>
    <row r="1112" s="3" customFormat="1"/>
    <row r="1113" s="3" customFormat="1"/>
    <row r="1114" s="3" customFormat="1"/>
    <row r="1115" s="3" customFormat="1"/>
    <row r="1116" s="3" customFormat="1"/>
    <row r="1117" s="3" customFormat="1"/>
    <row r="1118" s="3" customFormat="1"/>
    <row r="1119" s="3" customFormat="1"/>
    <row r="1120" s="3" customFormat="1"/>
    <row r="1121" s="3" customFormat="1"/>
    <row r="1122" s="3" customFormat="1"/>
    <row r="1123" s="3" customFormat="1"/>
    <row r="1124" s="3" customFormat="1"/>
    <row r="1125" s="3" customFormat="1"/>
    <row r="1126" s="3" customFormat="1"/>
    <row r="1127" s="3" customFormat="1"/>
    <row r="1128" s="3" customFormat="1"/>
    <row r="1129" s="3" customFormat="1"/>
    <row r="1130" s="3" customFormat="1"/>
    <row r="1131" s="3" customFormat="1"/>
    <row r="1132" s="3" customFormat="1"/>
    <row r="1133" s="3" customFormat="1"/>
    <row r="1134" s="3" customFormat="1"/>
    <row r="1135" s="3" customFormat="1"/>
    <row r="1136" s="3" customFormat="1"/>
    <row r="1137" s="3" customFormat="1"/>
    <row r="1138" s="3" customFormat="1"/>
    <row r="1139" s="3" customFormat="1"/>
    <row r="1140" s="3" customFormat="1"/>
    <row r="1141" s="3" customFormat="1"/>
    <row r="1142" s="3" customFormat="1"/>
    <row r="1143" s="3" customFormat="1"/>
    <row r="1144" s="3" customFormat="1"/>
    <row r="1145" s="3" customFormat="1"/>
    <row r="1146" s="3" customFormat="1"/>
    <row r="1147" s="3" customFormat="1"/>
    <row r="1148" s="3" customFormat="1"/>
    <row r="1149" s="3" customFormat="1"/>
    <row r="1150" s="3" customFormat="1"/>
    <row r="1151" s="3" customFormat="1"/>
    <row r="1152" s="3" customFormat="1"/>
    <row r="1153" s="3" customFormat="1"/>
    <row r="1154" s="3" customFormat="1"/>
    <row r="1155" s="3" customFormat="1"/>
    <row r="1156" s="3" customFormat="1"/>
    <row r="1157" s="3" customFormat="1"/>
    <row r="1158" s="3" customFormat="1"/>
    <row r="1159" s="3" customFormat="1"/>
    <row r="1160" s="3" customFormat="1"/>
    <row r="1161" s="3" customFormat="1"/>
    <row r="1162" s="3" customFormat="1"/>
    <row r="1163" s="3" customFormat="1"/>
    <row r="1164" s="3" customFormat="1"/>
    <row r="1165" s="3" customFormat="1"/>
    <row r="1166" s="3" customFormat="1"/>
    <row r="1167" s="3" customFormat="1"/>
    <row r="1168" s="3" customFormat="1"/>
    <row r="1169" s="3" customFormat="1"/>
    <row r="1170" s="3" customFormat="1"/>
    <row r="1171" s="3" customFormat="1"/>
    <row r="1172" s="3" customFormat="1"/>
    <row r="1173" s="3" customFormat="1"/>
    <row r="1174" s="3" customFormat="1"/>
    <row r="1175" s="3" customFormat="1"/>
    <row r="1176" s="3" customFormat="1"/>
    <row r="1177" s="3" customFormat="1"/>
    <row r="1178" s="3" customFormat="1"/>
    <row r="1179" s="3" customFormat="1"/>
    <row r="1180" s="3" customFormat="1"/>
    <row r="1181" s="3" customFormat="1"/>
    <row r="1182" s="3" customFormat="1"/>
    <row r="1183" s="3" customFormat="1"/>
    <row r="1184" s="3" customFormat="1"/>
    <row r="1185" s="3" customFormat="1"/>
    <row r="1186" s="3" customFormat="1"/>
    <row r="1187" s="3" customFormat="1"/>
    <row r="1188" s="3" customFormat="1"/>
    <row r="1189" s="3" customFormat="1"/>
    <row r="1190" s="3" customFormat="1"/>
    <row r="1191" s="3" customFormat="1"/>
    <row r="1192" s="3" customFormat="1"/>
    <row r="1193" s="3" customFormat="1"/>
    <row r="1194" s="3" customFormat="1"/>
    <row r="1195" s="3" customFormat="1"/>
    <row r="1196" s="3" customFormat="1"/>
    <row r="1197" s="3" customFormat="1"/>
    <row r="1198" s="3" customFormat="1"/>
    <row r="1199" s="3" customFormat="1"/>
    <row r="1200" s="3" customFormat="1"/>
    <row r="1201" s="3" customFormat="1"/>
    <row r="1202" s="3" customFormat="1"/>
    <row r="1203" s="3" customFormat="1"/>
    <row r="1204" s="3" customFormat="1"/>
    <row r="1205" s="3" customFormat="1"/>
    <row r="1206" s="3" customFormat="1"/>
    <row r="1207" s="3" customFormat="1"/>
    <row r="1208" s="3" customFormat="1"/>
    <row r="1209" s="3" customFormat="1"/>
    <row r="1210" s="3" customFormat="1"/>
    <row r="1211" s="3" customFormat="1"/>
    <row r="1212" s="3" customFormat="1"/>
    <row r="1213" s="3" customFormat="1"/>
    <row r="1214" s="3" customFormat="1"/>
    <row r="1215" s="3" customFormat="1"/>
    <row r="1216" s="3" customFormat="1"/>
    <row r="1217" s="3" customFormat="1"/>
    <row r="1218" s="3" customFormat="1"/>
    <row r="1219" s="3" customFormat="1"/>
    <row r="1220" s="3" customFormat="1"/>
    <row r="1221" s="3" customFormat="1"/>
    <row r="1222" s="3" customFormat="1"/>
    <row r="1223" s="3" customFormat="1"/>
    <row r="1224" s="3" customFormat="1"/>
    <row r="1225" s="3" customFormat="1"/>
    <row r="1226" s="3" customFormat="1"/>
    <row r="1227" s="3" customFormat="1"/>
    <row r="1228" s="3" customFormat="1"/>
    <row r="1229" s="3" customFormat="1"/>
    <row r="1230" s="3" customFormat="1"/>
    <row r="1231" s="3" customFormat="1"/>
    <row r="1232" s="3" customFormat="1"/>
    <row r="1233" s="3" customFormat="1"/>
    <row r="1234" s="3" customFormat="1"/>
    <row r="1235" s="3" customFormat="1"/>
    <row r="1236" s="3" customFormat="1"/>
    <row r="1237" s="3" customFormat="1"/>
    <row r="1238" s="3" customFormat="1"/>
    <row r="1239" s="3" customFormat="1"/>
    <row r="1240" s="3" customFormat="1"/>
    <row r="1241" s="3" customFormat="1"/>
    <row r="1242" s="3" customFormat="1"/>
    <row r="1243" s="3" customFormat="1"/>
    <row r="1244" s="3" customFormat="1"/>
    <row r="1245" s="3" customFormat="1"/>
    <row r="1246" s="3" customFormat="1"/>
    <row r="1247" s="3" customFormat="1"/>
    <row r="1248" s="3" customFormat="1"/>
    <row r="1249" s="3" customFormat="1"/>
    <row r="1250" s="3" customFormat="1"/>
    <row r="1251" s="3" customFormat="1"/>
    <row r="1252" s="3" customFormat="1"/>
    <row r="1253" s="3" customFormat="1"/>
    <row r="1254" s="3" customFormat="1"/>
    <row r="1255" s="3" customFormat="1"/>
    <row r="1256" s="3" customFormat="1"/>
    <row r="1257" s="3" customFormat="1"/>
    <row r="1258" s="3" customFormat="1"/>
    <row r="1259" s="3" customFormat="1"/>
    <row r="1260" s="3" customFormat="1"/>
    <row r="1261" s="3" customFormat="1"/>
    <row r="1262" s="3" customFormat="1"/>
    <row r="1263" s="3" customFormat="1"/>
    <row r="1264" s="3" customFormat="1"/>
    <row r="1265" s="3" customFormat="1"/>
    <row r="1266" s="3" customFormat="1"/>
    <row r="1267" s="3" customFormat="1"/>
    <row r="1268" s="3" customFormat="1"/>
    <row r="1269" s="3" customFormat="1"/>
    <row r="1270" s="3" customFormat="1"/>
    <row r="1271" s="3" customFormat="1"/>
    <row r="1272" s="3" customFormat="1"/>
    <row r="1273" s="3" customFormat="1"/>
    <row r="1274" s="3" customFormat="1"/>
    <row r="1275" s="3" customFormat="1"/>
    <row r="1276" s="3" customFormat="1"/>
    <row r="1277" s="3" customFormat="1"/>
    <row r="1278" s="3" customFormat="1"/>
    <row r="1279" s="3" customFormat="1"/>
    <row r="1280" s="3" customFormat="1"/>
    <row r="1281" s="3" customFormat="1"/>
    <row r="1282" s="3" customFormat="1"/>
    <row r="1283" s="3" customFormat="1"/>
    <row r="1284" s="3" customFormat="1"/>
    <row r="1285" s="3" customFormat="1"/>
    <row r="1286" s="3" customFormat="1"/>
    <row r="1287" s="3" customFormat="1"/>
    <row r="1288" s="3" customFormat="1"/>
    <row r="1289" s="3" customFormat="1"/>
    <row r="1290" s="3" customFormat="1"/>
    <row r="1291" s="3" customFormat="1"/>
    <row r="1292" s="3" customFormat="1"/>
    <row r="1293" s="3" customFormat="1"/>
    <row r="1294" s="3" customFormat="1"/>
    <row r="1295" s="3" customFormat="1"/>
    <row r="1296" s="3" customFormat="1"/>
    <row r="1297" s="3" customFormat="1"/>
    <row r="1298" s="3" customFormat="1"/>
    <row r="1299" s="3" customFormat="1"/>
    <row r="1300" s="3" customFormat="1"/>
    <row r="1301" s="3" customFormat="1"/>
    <row r="1302" s="3" customFormat="1"/>
    <row r="1303" s="3" customFormat="1"/>
    <row r="1304" s="3" customFormat="1"/>
    <row r="1305" s="3" customFormat="1"/>
    <row r="1306" s="3" customFormat="1"/>
    <row r="1307" s="3" customFormat="1"/>
    <row r="1308" s="3" customFormat="1"/>
    <row r="1309" s="3" customFormat="1"/>
    <row r="1310" s="3" customFormat="1"/>
    <row r="1311" s="3" customFormat="1"/>
    <row r="1312" s="3" customFormat="1"/>
    <row r="1313" s="3" customFormat="1"/>
    <row r="1314" s="3" customFormat="1"/>
    <row r="1315" s="3" customFormat="1"/>
    <row r="1316" s="3" customFormat="1"/>
    <row r="1317" s="3" customFormat="1"/>
    <row r="1318" s="3" customFormat="1"/>
    <row r="1319" s="3" customFormat="1"/>
    <row r="1320" s="3" customFormat="1"/>
    <row r="1321" s="3" customFormat="1"/>
    <row r="1322" s="3" customFormat="1"/>
    <row r="1323" s="3" customFormat="1"/>
    <row r="1324" s="3" customFormat="1"/>
    <row r="1325" s="3" customFormat="1"/>
    <row r="1326" s="3" customFormat="1"/>
    <row r="1327" s="3" customFormat="1"/>
    <row r="1328" s="3" customFormat="1"/>
    <row r="1329" s="3" customFormat="1"/>
    <row r="1330" s="3" customFormat="1"/>
    <row r="1331" s="3" customFormat="1"/>
    <row r="1332" s="3" customFormat="1"/>
    <row r="1333" s="3" customFormat="1"/>
    <row r="1334" s="3" customFormat="1"/>
    <row r="1335" s="3" customFormat="1"/>
    <row r="1336" s="3" customFormat="1"/>
    <row r="1337" s="3" customFormat="1"/>
    <row r="1338" s="3" customFormat="1"/>
    <row r="1339" s="3" customFormat="1"/>
    <row r="1340" s="3" customFormat="1"/>
    <row r="1341" s="3" customFormat="1"/>
    <row r="1342" s="3" customFormat="1"/>
    <row r="1343" s="3" customFormat="1"/>
    <row r="1344" s="3" customFormat="1"/>
    <row r="1345" s="3" customFormat="1"/>
    <row r="1346" s="3" customFormat="1"/>
    <row r="1347" s="3" customFormat="1"/>
    <row r="1348" s="3" customFormat="1"/>
    <row r="1349" s="3" customFormat="1"/>
    <row r="1350" s="3" customFormat="1"/>
    <row r="1351" s="3" customFormat="1"/>
    <row r="1352" s="3" customFormat="1"/>
    <row r="1353" s="3" customFormat="1"/>
    <row r="1354" s="3" customFormat="1"/>
    <row r="1355" s="3" customFormat="1"/>
    <row r="1356" s="3" customFormat="1"/>
    <row r="1357" s="3" customFormat="1"/>
    <row r="1358" s="3" customFormat="1"/>
    <row r="1359" s="3" customFormat="1"/>
    <row r="1360" s="3" customFormat="1"/>
    <row r="1361" s="3" customFormat="1"/>
    <row r="1362" s="3" customFormat="1"/>
    <row r="1363" s="3" customFormat="1"/>
    <row r="1364" s="3" customFormat="1"/>
    <row r="1365" s="3" customFormat="1"/>
    <row r="1366" s="3" customFormat="1"/>
    <row r="1367" s="3" customFormat="1"/>
    <row r="1368" s="3" customFormat="1"/>
    <row r="1369" s="3" customFormat="1"/>
    <row r="1370" s="3" customFormat="1"/>
    <row r="1371" s="3" customFormat="1"/>
    <row r="1372" s="3" customFormat="1"/>
    <row r="1373" s="3" customFormat="1"/>
    <row r="1374" s="3" customFormat="1"/>
    <row r="1375" s="3" customFormat="1"/>
    <row r="1376" s="3" customFormat="1"/>
    <row r="1377" s="3" customFormat="1"/>
    <row r="1378" s="3" customFormat="1"/>
    <row r="1379" s="3" customFormat="1"/>
    <row r="1380" s="3" customFormat="1"/>
    <row r="1381" s="3" customFormat="1"/>
    <row r="1382" s="3" customFormat="1"/>
    <row r="1383" s="3" customFormat="1"/>
    <row r="1384" s="3" customFormat="1"/>
    <row r="1385" s="3" customFormat="1"/>
  </sheetData>
  <mergeCells count="8">
    <mergeCell ref="W2:W3"/>
    <mergeCell ref="A2:A3"/>
    <mergeCell ref="B2:B3"/>
    <mergeCell ref="C2:C3"/>
    <mergeCell ref="T2:T3"/>
    <mergeCell ref="U2:U3"/>
    <mergeCell ref="V2:V3"/>
    <mergeCell ref="D2:S2"/>
  </mergeCells>
  <pageMargins left="0.7" right="0.7" top="0.75" bottom="0.75" header="0.3" footer="0.3"/>
  <pageSetup paperSize="9" scale="50"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1</vt:i4>
      </vt:variant>
    </vt:vector>
  </HeadingPairs>
  <TitlesOfParts>
    <vt:vector size="1" baseType="lpstr">
      <vt:lpstr>9.2.2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Айнур Досанова</dc:creator>
  <cp:lastModifiedBy>a.abraeva</cp:lastModifiedBy>
  <cp:lastPrinted>2020-05-22T03:17:10Z</cp:lastPrinted>
  <dcterms:created xsi:type="dcterms:W3CDTF">2018-05-14T10:11:55Z</dcterms:created>
  <dcterms:modified xsi:type="dcterms:W3CDTF">2026-06-04T07:44:59Z</dcterms:modified>
</cp:coreProperties>
</file>